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Pr-clus-vfpdrd\DRD_Central_SRB\CSRB - DRD\Transport Statistics Annual\Road Network\2022-23\Website docs\"/>
    </mc:Choice>
  </mc:AlternateContent>
  <xr:revisionPtr revIDLastSave="0" documentId="13_ncr:1_{87753C8E-9068-475D-A9FB-FD45FBECC880}" xr6:coauthVersionLast="47" xr6:coauthVersionMax="47" xr10:uidLastSave="{00000000-0000-0000-0000-000000000000}"/>
  <bookViews>
    <workbookView xWindow="-110" yWindow="-110" windowWidth="19420" windowHeight="10300" tabRatio="836" xr2:uid="{00000000-000D-0000-FFFF-FFFF00000000}"/>
  </bookViews>
  <sheets>
    <sheet name="Cover" sheetId="20" r:id="rId1"/>
    <sheet name="Index" sheetId="21" r:id="rId2"/>
    <sheet name="Introductory Notes" sheetId="19" r:id="rId3"/>
    <sheet name="Fig1" sheetId="10" r:id="rId4"/>
    <sheet name="Fig2" sheetId="9" r:id="rId5"/>
    <sheet name="Fig3" sheetId="12" r:id="rId6"/>
    <sheet name="Fig5" sheetId="16" r:id="rId7"/>
    <sheet name="Fig6" sheetId="22" r:id="rId8"/>
    <sheet name="Fig8" sheetId="23" r:id="rId9"/>
    <sheet name="Fig9" sheetId="14" r:id="rId10"/>
    <sheet name="Fig10" sheetId="17" r:id="rId11"/>
    <sheet name="Notes and Definitions" sheetId="2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9" l="1"/>
  <c r="F80" i="9"/>
  <c r="E80" i="9"/>
  <c r="D80" i="9"/>
  <c r="C79" i="9"/>
  <c r="H79" i="9" s="1"/>
  <c r="B79" i="9"/>
  <c r="B80" i="9" s="1"/>
  <c r="C78" i="9"/>
  <c r="H78" i="9" s="1"/>
  <c r="C77" i="9"/>
  <c r="H77" i="9" s="1"/>
  <c r="G76" i="9"/>
  <c r="F76" i="9"/>
  <c r="D76" i="9"/>
  <c r="C75" i="9"/>
  <c r="B75" i="9"/>
  <c r="E74" i="9"/>
  <c r="E76" i="9" s="1"/>
  <c r="C74" i="9"/>
  <c r="H74" i="9" s="1"/>
  <c r="B74" i="9"/>
  <c r="E73" i="9"/>
  <c r="D73" i="9"/>
  <c r="G72" i="9"/>
  <c r="G73" i="9" s="1"/>
  <c r="C72" i="9"/>
  <c r="H72" i="9" s="1"/>
  <c r="C71" i="9"/>
  <c r="B71" i="9"/>
  <c r="B73" i="9" s="1"/>
  <c r="F70" i="9"/>
  <c r="F73" i="9" s="1"/>
  <c r="E70" i="9"/>
  <c r="C70" i="9"/>
  <c r="D69" i="9"/>
  <c r="G68" i="9"/>
  <c r="G69" i="9" s="1"/>
  <c r="E68" i="9"/>
  <c r="C68" i="9"/>
  <c r="B68" i="9"/>
  <c r="C67" i="9"/>
  <c r="H67" i="9" s="1"/>
  <c r="F66" i="9"/>
  <c r="F69" i="9" s="1"/>
  <c r="E66" i="9"/>
  <c r="C66" i="9"/>
  <c r="B66" i="9"/>
  <c r="B69" i="9" s="1"/>
  <c r="C73" i="9" l="1"/>
  <c r="E69" i="9"/>
  <c r="E81" i="9" s="1"/>
  <c r="H71" i="9"/>
  <c r="H75" i="9"/>
  <c r="H76" i="9" s="1"/>
  <c r="C69" i="9"/>
  <c r="F81" i="9"/>
  <c r="G81" i="9"/>
  <c r="H68" i="9"/>
  <c r="B76" i="9"/>
  <c r="B81" i="9" s="1"/>
  <c r="C76" i="9"/>
  <c r="D81" i="9"/>
  <c r="H80" i="9"/>
  <c r="C80" i="9"/>
  <c r="H66" i="9"/>
  <c r="H70" i="9"/>
  <c r="H73" i="9" l="1"/>
  <c r="C81" i="9"/>
  <c r="H69" i="9"/>
  <c r="H81" i="9" s="1"/>
  <c r="B46" i="9"/>
  <c r="C46" i="9"/>
  <c r="E46" i="9"/>
  <c r="F46" i="9"/>
  <c r="F49" i="9" s="1"/>
  <c r="C47" i="9"/>
  <c r="H47" i="9" s="1"/>
  <c r="B48" i="9"/>
  <c r="C48" i="9"/>
  <c r="E48" i="9"/>
  <c r="G48" i="9"/>
  <c r="D49" i="9"/>
  <c r="G49" i="9"/>
  <c r="C50" i="9"/>
  <c r="E50" i="9"/>
  <c r="E53" i="9" s="1"/>
  <c r="F50" i="9"/>
  <c r="F53" i="9" s="1"/>
  <c r="B51" i="9"/>
  <c r="B53" i="9" s="1"/>
  <c r="C51" i="9"/>
  <c r="C52" i="9"/>
  <c r="G52" i="9"/>
  <c r="G53" i="9" s="1"/>
  <c r="D53" i="9"/>
  <c r="B54" i="9"/>
  <c r="C54" i="9"/>
  <c r="C56" i="9" s="1"/>
  <c r="E54" i="9"/>
  <c r="E56" i="9" s="1"/>
  <c r="B55" i="9"/>
  <c r="H55" i="9" s="1"/>
  <c r="C55" i="9"/>
  <c r="D56" i="9"/>
  <c r="F56" i="9"/>
  <c r="G56" i="9"/>
  <c r="C57" i="9"/>
  <c r="H57" i="9" s="1"/>
  <c r="C58" i="9"/>
  <c r="H58" i="9" s="1"/>
  <c r="B59" i="9"/>
  <c r="C59" i="9"/>
  <c r="D60" i="9"/>
  <c r="E60" i="9"/>
  <c r="F60" i="9"/>
  <c r="G60" i="9"/>
  <c r="E34" i="10"/>
  <c r="F34" i="10" s="1"/>
  <c r="E35" i="10"/>
  <c r="F35" i="10" s="1"/>
  <c r="E36" i="10"/>
  <c r="E37" i="10"/>
  <c r="F37" i="10" s="1"/>
  <c r="E38" i="10"/>
  <c r="F38" i="10" s="1"/>
  <c r="F39" i="10"/>
  <c r="E40" i="10"/>
  <c r="F40" i="10" s="1"/>
  <c r="E42" i="10"/>
  <c r="F42" i="10" s="1"/>
  <c r="C43" i="10"/>
  <c r="D43" i="10"/>
  <c r="E48" i="10"/>
  <c r="F48" i="10" s="1"/>
  <c r="E49" i="10"/>
  <c r="F49" i="10" s="1"/>
  <c r="E50" i="10"/>
  <c r="F50" i="10" s="1"/>
  <c r="E51" i="10"/>
  <c r="F51" i="10" s="1"/>
  <c r="E52" i="10"/>
  <c r="F52" i="10" s="1"/>
  <c r="F53" i="10"/>
  <c r="E54" i="10"/>
  <c r="F54" i="10" s="1"/>
  <c r="E56" i="10"/>
  <c r="F56" i="10" s="1"/>
  <c r="C57" i="10"/>
  <c r="D57" i="10"/>
  <c r="E49" i="9" l="1"/>
  <c r="B56" i="9"/>
  <c r="C53" i="9"/>
  <c r="H52" i="9"/>
  <c r="H48" i="9"/>
  <c r="C60" i="9"/>
  <c r="H59" i="9"/>
  <c r="H60" i="9" s="1"/>
  <c r="G61" i="9"/>
  <c r="C49" i="9"/>
  <c r="E61" i="9"/>
  <c r="H54" i="9"/>
  <c r="H56" i="9" s="1"/>
  <c r="D61" i="9"/>
  <c r="H46" i="9"/>
  <c r="H50" i="9"/>
  <c r="F61" i="9"/>
  <c r="H49" i="9"/>
  <c r="B49" i="9"/>
  <c r="B60" i="9"/>
  <c r="H51" i="9"/>
  <c r="E57" i="10"/>
  <c r="E43" i="10"/>
  <c r="F43" i="10"/>
  <c r="F57" i="10"/>
  <c r="C61" i="9" l="1"/>
  <c r="H53" i="9"/>
  <c r="H61" i="9" s="1"/>
  <c r="B61" i="9"/>
</calcChain>
</file>

<file path=xl/sharedStrings.xml><?xml version="1.0" encoding="utf-8"?>
<sst xmlns="http://schemas.openxmlformats.org/spreadsheetml/2006/main" count="426" uniqueCount="172">
  <si>
    <t>2019-20</t>
  </si>
  <si>
    <t>Index</t>
  </si>
  <si>
    <t>Introductory Notes</t>
  </si>
  <si>
    <t>Acknowledgements</t>
  </si>
  <si>
    <t>Rounding of figures</t>
  </si>
  <si>
    <t>All calculations have been undertaken on the basis of unrounded figures.</t>
  </si>
  <si>
    <t xml:space="preserve">A number of tables contain rounded data and therefore there may be a slight discrepancy between the total and the sum of the constituent items. </t>
  </si>
  <si>
    <t>Accessibility</t>
  </si>
  <si>
    <t>If this document is not in a format that meets your needs, please contact ASRB with your requirements.</t>
  </si>
  <si>
    <t>Contact Us</t>
  </si>
  <si>
    <t>Enquiries concerning this publication may be directed to:</t>
  </si>
  <si>
    <t>Analysis, Statistics and Research Branch</t>
  </si>
  <si>
    <t>Department for Infrastructure</t>
  </si>
  <si>
    <t>Clarence Court</t>
  </si>
  <si>
    <t>10-18 Adelaide Street</t>
  </si>
  <si>
    <t xml:space="preserve">Belfast </t>
  </si>
  <si>
    <t>BT2 8GB</t>
  </si>
  <si>
    <t>E-mail: ASRB@nisra.gov.uk</t>
  </si>
  <si>
    <t>Return to Index</t>
  </si>
  <si>
    <t>2020-21</t>
  </si>
  <si>
    <t>Description</t>
  </si>
  <si>
    <t xml:space="preserve">User Guidance </t>
  </si>
  <si>
    <t>Notes</t>
  </si>
  <si>
    <t>Notes and Definitions</t>
  </si>
  <si>
    <t>Definitions</t>
  </si>
  <si>
    <t>Note</t>
  </si>
  <si>
    <t>Term</t>
  </si>
  <si>
    <t xml:space="preserve">Notes and Definitions for the table below </t>
  </si>
  <si>
    <t xml:space="preserve">Note </t>
  </si>
  <si>
    <t>Definition</t>
  </si>
  <si>
    <t>Year</t>
  </si>
  <si>
    <t>2021-22</t>
  </si>
  <si>
    <t xml:space="preserve">Figure 1 </t>
  </si>
  <si>
    <t>2022-23</t>
  </si>
  <si>
    <t>Northern Ireland Road Network and Condition Statistics 2022-23</t>
  </si>
  <si>
    <t>Source: DfI TRAM</t>
  </si>
  <si>
    <t>All Road Classes [note7] [note8]</t>
  </si>
  <si>
    <t>Single</t>
  </si>
  <si>
    <t>Unclassified</t>
  </si>
  <si>
    <t>Dual</t>
  </si>
  <si>
    <t>C Roads</t>
  </si>
  <si>
    <t>B Roads</t>
  </si>
  <si>
    <t>A Roads</t>
  </si>
  <si>
    <t>Motorway</t>
  </si>
  <si>
    <t>Motorway [note6]</t>
  </si>
  <si>
    <t>Total Route Length [note5]</t>
  </si>
  <si>
    <t>Total (Carriageway Length) [note4]</t>
  </si>
  <si>
    <t>Rural Length
(Carriageway)</t>
  </si>
  <si>
    <t xml:space="preserve">Urban Length
(Carriageway) </t>
  </si>
  <si>
    <t>Carriageway Class</t>
  </si>
  <si>
    <t>Road Class [note3]</t>
  </si>
  <si>
    <t>Km</t>
  </si>
  <si>
    <t>All Divisions</t>
  </si>
  <si>
    <t>All Western Division</t>
  </si>
  <si>
    <t>Mid Ulster</t>
  </si>
  <si>
    <t>Fermanagh and Omagh</t>
  </si>
  <si>
    <t>Derry City and Strabane</t>
  </si>
  <si>
    <t>All Eastern Division</t>
  </si>
  <si>
    <t>Lisburn and Castlereagh</t>
  </si>
  <si>
    <t>Belfast</t>
  </si>
  <si>
    <t>All Southern Division</t>
  </si>
  <si>
    <t>Newry, Mourne and Down</t>
  </si>
  <si>
    <t>Armagh City, Banbridge and Craigavon</t>
  </si>
  <si>
    <t>Ards and North Down</t>
  </si>
  <si>
    <t>All Northern Division</t>
  </si>
  <si>
    <t>Mid and East Antrim</t>
  </si>
  <si>
    <t>Causeway Coast and Glens</t>
  </si>
  <si>
    <t>Antrim and Newtownabbey</t>
  </si>
  <si>
    <t xml:space="preserve">Motorway </t>
  </si>
  <si>
    <t>All road types [note5], [note6], [note7]</t>
  </si>
  <si>
    <t>Motorway [note 4]</t>
  </si>
  <si>
    <t xml:space="preserve">The management information figures in this table are a snapshot of the Roads Maintenance Client System at 1 April 2021. </t>
  </si>
  <si>
    <t>Totals may not always exactly equal the sum of individual components, due to rounding.</t>
  </si>
  <si>
    <t xml:space="preserve">For definitions of A, B, C and unclassified roads, see definitions below. </t>
  </si>
  <si>
    <t>Carriageway length (Kms) is the sum of the lengths of each carriageway of a dual or motorway section.  On motorways and dual carriageways: 2 Carriageway Km = 1 Route Km.</t>
  </si>
  <si>
    <t>Route length (Kms) is the distance between two points on the road network, regardless of whether the section is motorway or dual carriageway.</t>
  </si>
  <si>
    <t>Motorway figures exclude slip road lengths.</t>
  </si>
  <si>
    <t>Stretches for car parks and footpaths are not included in these figures.</t>
  </si>
  <si>
    <t>Figure 2</t>
  </si>
  <si>
    <t>Lengths are in route kilometres.</t>
  </si>
  <si>
    <t>A roads</t>
  </si>
  <si>
    <t>B roads</t>
  </si>
  <si>
    <t>C roads</t>
  </si>
  <si>
    <t>Unclassified roads</t>
  </si>
  <si>
    <t xml:space="preserve"> major roads intended to provide large-scale transport links within or between areas. </t>
  </si>
  <si>
    <t xml:space="preserve"> roads intended to connect different areas, and to feed traffic between A roads and smaller roads on the network. </t>
  </si>
  <si>
    <t xml:space="preserve"> smaller roads intended to connect together unclassified roads with A and B roads. </t>
  </si>
  <si>
    <t xml:space="preserve"> local roads intended for local traffic. </t>
  </si>
  <si>
    <t>A normally dual carriageway road designed for higher speed traffic with designated places for joining and leaving</t>
  </si>
  <si>
    <t>Motorways and all purpose trunk roads owned by DfI who have responsibility for maintenance and operation. These are strategic roads with a high proportion of long distance traffic although some trunk roads may also have lengths, with the same number, designated as an ‘A’ principal road, where traffic is predominantly local in nature.</t>
  </si>
  <si>
    <t>Trunk Route Network (TRN)</t>
  </si>
  <si>
    <t>Figure 3</t>
  </si>
  <si>
    <t>A Roads (Dual Carriageway)</t>
  </si>
  <si>
    <t xml:space="preserve"> A Roads (Single Carriageway)</t>
  </si>
  <si>
    <t>The User Guidance can be found in Northern Ireland Road Network and Condition Statistics 2022-23</t>
  </si>
  <si>
    <t>Figure 3 Percentage of roads in good, average or poor condition by road class 2019-20 to 2022-23.</t>
  </si>
  <si>
    <t>A</t>
  </si>
  <si>
    <t>B</t>
  </si>
  <si>
    <t>C</t>
  </si>
  <si>
    <t>Poor (red)</t>
  </si>
  <si>
    <t>Good (green)</t>
  </si>
  <si>
    <t>Average (amber)</t>
  </si>
  <si>
    <t>Condition</t>
  </si>
  <si>
    <t>Non - Trunk A roads</t>
  </si>
  <si>
    <t>Combined TRN and Motorway</t>
  </si>
  <si>
    <t>Figure 6 Surface defects instructed and repaired in Northern Ireland 2019-20 to 2022-23</t>
  </si>
  <si>
    <t>Instructed</t>
  </si>
  <si>
    <t>Repaired</t>
  </si>
  <si>
    <t>Defects</t>
  </si>
  <si>
    <t>Local Government District</t>
  </si>
  <si>
    <t>All road expenditure</t>
  </si>
  <si>
    <t>New Construction &amp; Improvement</t>
  </si>
  <si>
    <t xml:space="preserve">Structural Maintenance - Capital </t>
  </si>
  <si>
    <r>
      <t>Structural Maintenance - Resource</t>
    </r>
    <r>
      <rPr>
        <vertAlign val="superscript"/>
        <sz val="11"/>
        <color theme="1"/>
        <rFont val="Calibri"/>
        <family val="2"/>
        <scheme val="minor"/>
      </rPr>
      <t xml:space="preserve"> </t>
    </r>
  </si>
  <si>
    <r>
      <t>Highway Structures</t>
    </r>
    <r>
      <rPr>
        <vertAlign val="superscript"/>
        <sz val="11"/>
        <color theme="1"/>
        <rFont val="Calibri"/>
        <family val="2"/>
        <scheme val="minor"/>
      </rPr>
      <t xml:space="preserve"> </t>
    </r>
  </si>
  <si>
    <t>Routine Maintenance</t>
  </si>
  <si>
    <t>Traffic Maintenance</t>
  </si>
  <si>
    <t>Winter Maintenance</t>
  </si>
  <si>
    <t>Public Lighting</t>
  </si>
  <si>
    <t>Park &amp; Ride/Share Sites</t>
  </si>
  <si>
    <t>Other</t>
  </si>
  <si>
    <t>ASRB acknowledge the assistance received from colleagues in DfI and would like to thank them for their contributions to this publication.</t>
  </si>
  <si>
    <t xml:space="preserve">The figures in this table are a snapshot of the Roads Maintenance Client System at 1 April each year. </t>
  </si>
  <si>
    <t xml:space="preserve">Road lengths recorded here are for adopted roads only i.e. those maintained by DfI. </t>
  </si>
  <si>
    <t>Website: DfI website</t>
  </si>
  <si>
    <t xml:space="preserve">Main Report </t>
  </si>
  <si>
    <t>Red</t>
  </si>
  <si>
    <t>Amber</t>
  </si>
  <si>
    <t>Green</t>
  </si>
  <si>
    <t>an RCI less than 40 (classified as being green) means the road is in good condition.</t>
  </si>
  <si>
    <t>an RCI between 40 and 100 (classified as being amber) suggests the road is in average condition and should be investigated soon</t>
  </si>
  <si>
    <t>an RCI greater than 100 (classified as being red) indicates poor road conditions and a requirement to plan maintenance soon</t>
  </si>
  <si>
    <t>The outputs from the SCANNER are combined to produce a Road Condition Index (RCI) which is the industry standard measure for road condition currently in use;</t>
  </si>
  <si>
    <t>Trunk Road Network</t>
  </si>
  <si>
    <t>Figure 7: Data presented in figure 7 is the latest year of surface defect data instructed and repaired (figures 8 and 9)</t>
  </si>
  <si>
    <t xml:space="preserve">Figure 4: Data presented in figure 4 can be found in SCANNER Local Government District tables and figures document on website </t>
  </si>
  <si>
    <t>£ thousands</t>
  </si>
  <si>
    <t xml:space="preserve">Figure 10 </t>
  </si>
  <si>
    <t>New construction and improvement</t>
  </si>
  <si>
    <t>this includes major and minor capital road schemes, land costs, street lighting - new installations, sustainable travel schemes such as cycling and pedestrian measures, park &amp; share and improvements to structures such as bridge strengthening.</t>
  </si>
  <si>
    <t xml:space="preserve"> this includes resurfacing and reconstruction, asphalt patching, surface dressing, capital investment in drainage infrastructure and capital investment in the structural stability of embankments.</t>
  </si>
  <si>
    <t xml:space="preserve">Structural Maintenance-Capital </t>
  </si>
  <si>
    <t>this includes patching of carriageway and footways.</t>
  </si>
  <si>
    <t xml:space="preserve">Structural Maintenance-Resource </t>
  </si>
  <si>
    <t xml:space="preserve"> this includes maintenance of bridges and retaining walls.</t>
  </si>
  <si>
    <t xml:space="preserve">Highway Structures </t>
  </si>
  <si>
    <t xml:space="preserve">Routine Maintenance </t>
  </si>
  <si>
    <t xml:space="preserve"> this includes road markings, safety fences &amp; guardrails, energy to illuminate traffic signs and signals and maintenance of traffic signs and signals.</t>
  </si>
  <si>
    <t xml:space="preserve">Traffic Maintenance </t>
  </si>
  <si>
    <t xml:space="preserve"> this includes salting and snow clearance.</t>
  </si>
  <si>
    <t xml:space="preserve">Winter Maintenance </t>
  </si>
  <si>
    <t xml:space="preserve"> this includes maintenance and energy.</t>
  </si>
  <si>
    <t xml:space="preserve">Public Lighting </t>
  </si>
  <si>
    <t>note that this does not include the cost of Decriminalised Parking Enforcement.</t>
  </si>
  <si>
    <t xml:space="preserve"> this is expenditure which is not detailed in the categories above such as some administration overheads, liability costs, payments to the Departments Public-Private Partners (PPP) for their Operating and Lifecycle costs linked to maintaining the road network lengths constructed by them through Design Build Finance and Operate (DBFO) arrangements, road drainage charge from Northern Ireland Water, contractual costs associated with Enforcement of Parking and Moving Traffic offences, purchases of Fleet, IT and other Plant Property and Equipment (PPE) and Active Travel Grants (e.g. Greenway Grants).</t>
  </si>
  <si>
    <t xml:space="preserve">Other </t>
  </si>
  <si>
    <t>this includes environmental maintenance (grass cutting, weed control, tree maintenance etc.), gully emptying and cleaning, fencing and minor repairs to embankments, cuttings and verges.</t>
  </si>
  <si>
    <t>Local Government District/ DfI Roads division</t>
  </si>
  <si>
    <t>Figure 2: NI road lengths by Local Government District and DfI Roads division by type of road 2020 to 2023 [note1][note2][note3]</t>
  </si>
  <si>
    <t>Figure 1: Road Lengths Northern Ireland 2020 to 2023 - All DfI Roads divisions[note1][note2]</t>
  </si>
  <si>
    <t>Figure 1: Road Lengths Northern Ireland: 2020 to 2023</t>
  </si>
  <si>
    <t>Figure 10: Total public expenditure on roads 2019-20 to 2022-23</t>
  </si>
  <si>
    <t>Figure 2: Road Lengths by Local Government District by Class April 2019 to March 2023</t>
  </si>
  <si>
    <t>Figure 3: Percentage of roads in good, average or poor condition by road class 2019-20 to 2022-23</t>
  </si>
  <si>
    <t>Figure 5: Percentage of Trunk Road Network, motorway and non-trunk A-roads with residual life of more than five years 2019-20 to 2022-23</t>
  </si>
  <si>
    <t>Figure 6: Surface defects instructed and repaired in Northern Ireland 2019-20 to 2022-23</t>
  </si>
  <si>
    <t>Figure 8: Surface defects instructed by Local Government District 2019-20 to 2022-23</t>
  </si>
  <si>
    <t>Figure 9: Surface defects repaired by Local Government District 2019-20 to 2022-23</t>
  </si>
  <si>
    <t>Figure 5 Percentage of Trunk Road Network (TRN), motorway and non-trunk A roads with residual life of more than five years 2019-20 to 2022-23</t>
  </si>
  <si>
    <t>Figure 8 Surface defects instructed by Local Government District 2019-20 to 2022-23</t>
  </si>
  <si>
    <t>Figure 9 Surface defects repaired by Local Government District 2019-20 to 2022-23</t>
  </si>
  <si>
    <t>Figure 10 Total public expenditure on roads 2019-20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</si>
</sst>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0.0"/>
    <numFmt numFmtId="166" formatCode="_-* #,##0_-;\-* #,##0_-;_-* &quot;-&quot;??_-;_-@_-"/>
    <numFmt numFmtId="167" formatCode="0.00_)"/>
    <numFmt numFmtId="168" formatCode="#,##0.0000"/>
    <numFmt numFmtId="169" formatCode="0.0%"/>
  </numFmts>
  <fonts count="43">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tint="0.499984740745262"/>
      <name val="Calibri"/>
      <family val="2"/>
      <scheme val="minor"/>
    </font>
    <font>
      <sz val="11"/>
      <color theme="1" tint="0.499984740745262"/>
      <name val="Calibri"/>
      <family val="2"/>
      <scheme val="minor"/>
    </font>
    <font>
      <sz val="12"/>
      <color theme="1" tint="0.499984740745262"/>
      <name val="Calibri"/>
      <family val="2"/>
      <scheme val="minor"/>
    </font>
    <font>
      <u/>
      <sz val="10"/>
      <color indexed="12"/>
      <name val="Arial"/>
      <family val="2"/>
    </font>
    <font>
      <sz val="10"/>
      <color theme="1" tint="0.499984740745262"/>
      <name val="Calibri"/>
      <family val="2"/>
      <scheme val="minor"/>
    </font>
    <font>
      <sz val="10"/>
      <color theme="1" tint="0.34998626667073579"/>
      <name val="Calibri"/>
      <family val="2"/>
      <scheme val="minor"/>
    </font>
    <font>
      <sz val="10"/>
      <name val="Calibri"/>
      <family val="2"/>
      <scheme val="minor"/>
    </font>
    <font>
      <sz val="10"/>
      <color theme="1"/>
      <name val="Calibri"/>
      <family val="2"/>
      <scheme val="minor"/>
    </font>
    <font>
      <sz val="9"/>
      <color theme="1" tint="0.499984740745262"/>
      <name val="Calibri"/>
      <family val="2"/>
      <scheme val="minor"/>
    </font>
    <font>
      <sz val="10"/>
      <color theme="1"/>
      <name val="Arial"/>
      <family val="2"/>
    </font>
    <font>
      <b/>
      <sz val="12"/>
      <color theme="1" tint="0.34998626667073579"/>
      <name val="Calibri"/>
      <family val="2"/>
      <scheme val="minor"/>
    </font>
    <font>
      <sz val="12"/>
      <name val="Arial"/>
      <family val="2"/>
    </font>
    <font>
      <sz val="10"/>
      <color theme="1" tint="0.499984740745262"/>
      <name val="Arial"/>
      <family val="2"/>
    </font>
    <font>
      <sz val="12"/>
      <color theme="1" tint="0.34998626667073579"/>
      <name val="Calibri"/>
      <family val="2"/>
      <scheme val="minor"/>
    </font>
    <font>
      <sz val="12"/>
      <name val="Arial MT"/>
    </font>
    <font>
      <sz val="48"/>
      <color rgb="FF1F497D"/>
      <name val="Arial"/>
      <family val="2"/>
    </font>
    <font>
      <b/>
      <sz val="14"/>
      <color indexed="10"/>
      <name val="Arial"/>
      <family val="2"/>
    </font>
    <font>
      <sz val="48"/>
      <color theme="8" tint="-0.499984740745262"/>
      <name val="Calibri"/>
      <family val="2"/>
      <scheme val="minor"/>
    </font>
    <font>
      <sz val="11"/>
      <name val="Calibri"/>
      <family val="2"/>
      <scheme val="minor"/>
    </font>
    <font>
      <b/>
      <sz val="12"/>
      <color rgb="FF008EC0"/>
      <name val="Calibri"/>
      <family val="2"/>
      <scheme val="minor"/>
    </font>
    <font>
      <sz val="12"/>
      <color rgb="FF000000"/>
      <name val="Calibri"/>
      <family val="2"/>
      <scheme val="minor"/>
    </font>
    <font>
      <b/>
      <sz val="12"/>
      <color theme="1"/>
      <name val="Calibri"/>
      <family val="2"/>
      <scheme val="minor"/>
    </font>
    <font>
      <u/>
      <sz val="11"/>
      <color indexed="12"/>
      <name val="Calibri"/>
      <family val="2"/>
      <scheme val="minor"/>
    </font>
    <font>
      <b/>
      <sz val="12"/>
      <color rgb="FF808080"/>
      <name val="Calibri"/>
      <family val="2"/>
      <scheme val="minor"/>
    </font>
    <font>
      <sz val="11"/>
      <color rgb="FF808080"/>
      <name val="Calibri"/>
      <family val="2"/>
      <scheme val="minor"/>
    </font>
    <font>
      <b/>
      <sz val="15"/>
      <color theme="3"/>
      <name val="Calibri"/>
      <family val="2"/>
      <scheme val="minor"/>
    </font>
    <font>
      <sz val="12"/>
      <color rgb="FF808080"/>
      <name val="Calibri"/>
      <family val="2"/>
      <scheme val="minor"/>
    </font>
    <font>
      <sz val="14"/>
      <color rgb="FF808080"/>
      <name val="Calibri"/>
      <family val="2"/>
      <scheme val="minor"/>
    </font>
    <font>
      <sz val="11"/>
      <color theme="1"/>
      <name val="Calibri"/>
      <family val="2"/>
      <scheme val="minor"/>
    </font>
    <font>
      <u/>
      <sz val="12"/>
      <color indexed="12"/>
      <name val="Calibri"/>
      <family val="2"/>
      <scheme val="minor"/>
    </font>
    <font>
      <u/>
      <sz val="11"/>
      <color theme="10"/>
      <name val="Calibri"/>
      <family val="2"/>
    </font>
    <font>
      <sz val="9"/>
      <name val="Calibri"/>
      <family val="2"/>
      <scheme val="minor"/>
    </font>
    <font>
      <sz val="12"/>
      <color rgb="FF000000"/>
      <name val="Arial"/>
      <family val="2"/>
    </font>
    <font>
      <b/>
      <sz val="12"/>
      <color rgb="FF000000"/>
      <name val="Calibri"/>
      <family val="2"/>
      <scheme val="minor"/>
    </font>
    <font>
      <sz val="12"/>
      <color rgb="FF000000"/>
      <name val="Arial"/>
      <family val="2"/>
    </font>
    <font>
      <vertAlign val="superscript"/>
      <sz val="11"/>
      <color theme="1"/>
      <name val="Calibri"/>
      <family val="2"/>
      <scheme val="minor"/>
    </font>
    <font>
      <sz val="11"/>
      <color theme="1" tint="0.34998626667073579"/>
      <name val="Calibri"/>
      <family val="2"/>
      <scheme val="minor"/>
    </font>
    <font>
      <u/>
      <sz val="10"/>
      <color indexed="12"/>
      <name val="Calibri"/>
      <family val="2"/>
      <scheme val="minor"/>
    </font>
    <font>
      <sz val="12"/>
      <color rgb="FF333333"/>
      <name val="Calibri"/>
      <family val="2"/>
      <scheme val="minor"/>
    </font>
  </fonts>
  <fills count="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9"/>
      </patternFill>
    </fill>
    <fill>
      <patternFill patternType="solid">
        <fgColor theme="0"/>
        <bgColor indexed="64"/>
      </patternFill>
    </fill>
    <fill>
      <patternFill patternType="solid">
        <fgColor theme="0"/>
        <bgColor indexed="63"/>
      </patternFill>
    </fill>
    <fill>
      <patternFill patternType="solid">
        <fgColor theme="0"/>
        <bgColor rgb="FFC0C0C0"/>
      </patternFill>
    </fill>
  </fills>
  <borders count="11">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9"/>
      </left>
      <right/>
      <top/>
      <bottom/>
      <diagonal/>
    </border>
    <border>
      <left/>
      <right/>
      <top/>
      <bottom style="thick">
        <color theme="4"/>
      </bottom>
      <diagonal/>
    </border>
    <border>
      <left/>
      <right/>
      <top style="medium">
        <color indexed="64"/>
      </top>
      <bottom style="medium">
        <color indexed="64"/>
      </bottom>
      <diagonal/>
    </border>
    <border>
      <left/>
      <right/>
      <top style="thin">
        <color indexed="64"/>
      </top>
      <bottom/>
      <diagonal/>
    </border>
    <border>
      <left/>
      <right/>
      <top style="thin">
        <color theme="1"/>
      </top>
      <bottom/>
      <diagonal/>
    </border>
    <border>
      <left style="thin">
        <color indexed="9"/>
      </left>
      <right/>
      <top/>
      <bottom style="medium">
        <color indexed="64"/>
      </bottom>
      <diagonal/>
    </border>
  </borders>
  <cellStyleXfs count="11">
    <xf numFmtId="0" fontId="0" fillId="0" borderId="0"/>
    <xf numFmtId="0" fontId="7" fillId="0" borderId="0" applyNumberFormat="0" applyFill="0" applyBorder="0" applyAlignment="0" applyProtection="0">
      <alignment vertical="top"/>
      <protection locked="0"/>
    </xf>
    <xf numFmtId="0" fontId="18" fillId="0" borderId="0"/>
    <xf numFmtId="0" fontId="15" fillId="0" borderId="0"/>
    <xf numFmtId="0" fontId="29" fillId="0" borderId="6"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36" fillId="0" borderId="0"/>
    <xf numFmtId="0" fontId="38" fillId="0" borderId="0"/>
  </cellStyleXfs>
  <cellXfs count="208">
    <xf numFmtId="0" fontId="0" fillId="0" borderId="0" xfId="0"/>
    <xf numFmtId="0" fontId="0" fillId="5" borderId="0" xfId="0" applyFill="1"/>
    <xf numFmtId="0" fontId="5" fillId="5" borderId="0" xfId="0" applyFont="1" applyFill="1"/>
    <xf numFmtId="0" fontId="11" fillId="5" borderId="0" xfId="0" applyFont="1" applyFill="1"/>
    <xf numFmtId="0" fontId="5" fillId="5" borderId="0" xfId="0" applyFont="1" applyFill="1" applyAlignment="1">
      <alignment horizontal="right"/>
    </xf>
    <xf numFmtId="0" fontId="5" fillId="5" borderId="0" xfId="0" applyFont="1" applyFill="1" applyAlignment="1">
      <alignment horizontal="center"/>
    </xf>
    <xf numFmtId="0" fontId="8" fillId="4" borderId="0" xfId="0" applyFont="1" applyFill="1" applyAlignment="1">
      <alignment horizontal="right"/>
    </xf>
    <xf numFmtId="0" fontId="0" fillId="5" borderId="0" xfId="0" applyFill="1" applyAlignment="1">
      <alignment wrapText="1"/>
    </xf>
    <xf numFmtId="0" fontId="12" fillId="5" borderId="0" xfId="0" applyFont="1" applyFill="1"/>
    <xf numFmtId="0" fontId="6" fillId="5" borderId="0" xfId="0" applyFont="1" applyFill="1"/>
    <xf numFmtId="0" fontId="6" fillId="4" borderId="0" xfId="0" applyFont="1" applyFill="1" applyAlignment="1">
      <alignment horizontal="right"/>
    </xf>
    <xf numFmtId="0" fontId="6" fillId="4" borderId="0" xfId="0" applyFont="1" applyFill="1" applyAlignment="1">
      <alignment horizontal="left"/>
    </xf>
    <xf numFmtId="0" fontId="6" fillId="5" borderId="0" xfId="0" applyFont="1" applyFill="1" applyAlignment="1">
      <alignment horizontal="right"/>
    </xf>
    <xf numFmtId="0" fontId="16" fillId="5" borderId="0" xfId="0" applyFont="1" applyFill="1"/>
    <xf numFmtId="0" fontId="0" fillId="3" borderId="0" xfId="0" applyFill="1"/>
    <xf numFmtId="0" fontId="19" fillId="3" borderId="0" xfId="0" applyFont="1" applyFill="1" applyAlignment="1">
      <alignment horizontal="center" wrapText="1"/>
    </xf>
    <xf numFmtId="0" fontId="20"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center"/>
    </xf>
    <xf numFmtId="0" fontId="13" fillId="3" borderId="0" xfId="0" applyFont="1" applyFill="1" applyAlignment="1">
      <alignment horizontal="center"/>
    </xf>
    <xf numFmtId="0" fontId="21" fillId="3" borderId="0" xfId="0" applyFont="1" applyFill="1" applyAlignment="1">
      <alignment horizontal="center" wrapText="1"/>
    </xf>
    <xf numFmtId="0" fontId="22" fillId="5" borderId="0" xfId="0" applyFont="1" applyFill="1"/>
    <xf numFmtId="0" fontId="2" fillId="5" borderId="0" xfId="0" applyFont="1" applyFill="1"/>
    <xf numFmtId="0" fontId="26" fillId="7" borderId="0" xfId="1" applyFont="1" applyFill="1" applyBorder="1" applyAlignment="1" applyProtection="1">
      <alignment wrapText="1"/>
    </xf>
    <xf numFmtId="0" fontId="17" fillId="5" borderId="0" xfId="2" applyFont="1" applyFill="1"/>
    <xf numFmtId="0" fontId="14" fillId="5" borderId="0" xfId="2" applyFont="1" applyFill="1"/>
    <xf numFmtId="0" fontId="2" fillId="5" borderId="0" xfId="2" applyFont="1" applyFill="1"/>
    <xf numFmtId="0" fontId="17" fillId="5" borderId="0" xfId="2" applyFont="1" applyFill="1" applyAlignment="1">
      <alignment horizontal="right"/>
    </xf>
    <xf numFmtId="0" fontId="9" fillId="5" borderId="0" xfId="2" applyFont="1" applyFill="1" applyAlignment="1">
      <alignment horizontal="right"/>
    </xf>
    <xf numFmtId="0" fontId="14" fillId="5" borderId="0" xfId="2" applyFont="1" applyFill="1" applyAlignment="1">
      <alignment horizontal="right"/>
    </xf>
    <xf numFmtId="165" fontId="17" fillId="5" borderId="0" xfId="2" applyNumberFormat="1" applyFont="1" applyFill="1"/>
    <xf numFmtId="0" fontId="6" fillId="5" borderId="0" xfId="0" applyFont="1" applyFill="1" applyAlignment="1">
      <alignment horizontal="left"/>
    </xf>
    <xf numFmtId="0" fontId="10"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3" fillId="5" borderId="0" xfId="0" applyFont="1" applyFill="1"/>
    <xf numFmtId="0" fontId="28" fillId="5" borderId="0" xfId="0" applyFont="1" applyFill="1"/>
    <xf numFmtId="0" fontId="4" fillId="5" borderId="0" xfId="0" applyFont="1" applyFill="1"/>
    <xf numFmtId="0" fontId="27" fillId="6" borderId="0" xfId="4" applyFont="1" applyFill="1" applyBorder="1" applyAlignment="1" applyProtection="1"/>
    <xf numFmtId="0" fontId="31" fillId="6" borderId="0" xfId="4" applyFont="1" applyFill="1" applyBorder="1" applyAlignment="1" applyProtection="1"/>
    <xf numFmtId="0" fontId="30" fillId="5" borderId="0" xfId="3" applyFont="1" applyFill="1"/>
    <xf numFmtId="0" fontId="30" fillId="5" borderId="0" xfId="0" applyFont="1" applyFill="1" applyAlignment="1">
      <alignment horizontal="left" vertical="center" indent="4"/>
    </xf>
    <xf numFmtId="0" fontId="30" fillId="5" borderId="0" xfId="0" applyFont="1" applyFill="1"/>
    <xf numFmtId="0" fontId="8" fillId="4" borderId="5" xfId="0" applyFont="1" applyFill="1" applyBorder="1" applyAlignment="1">
      <alignment vertical="center"/>
    </xf>
    <xf numFmtId="0" fontId="22" fillId="5" borderId="0" xfId="0" applyFont="1" applyFill="1" applyAlignment="1">
      <alignment horizontal="left"/>
    </xf>
    <xf numFmtId="164" fontId="30" fillId="4" borderId="0" xfId="0" applyNumberFormat="1" applyFont="1" applyFill="1" applyAlignment="1">
      <alignment horizontal="left" vertical="center"/>
    </xf>
    <xf numFmtId="3" fontId="30" fillId="4" borderId="0" xfId="0" applyNumberFormat="1" applyFont="1" applyFill="1" applyAlignment="1">
      <alignment horizontal="left" vertical="center"/>
    </xf>
    <xf numFmtId="0" fontId="23" fillId="5" borderId="0" xfId="0" applyFont="1" applyFill="1" applyAlignment="1">
      <alignment horizontal="left" vertical="center"/>
    </xf>
    <xf numFmtId="0" fontId="33" fillId="5" borderId="0" xfId="1" applyFont="1" applyFill="1" applyAlignment="1" applyProtection="1"/>
    <xf numFmtId="0" fontId="27" fillId="5" borderId="0" xfId="0" applyFont="1" applyFill="1" applyAlignment="1">
      <alignment horizontal="left"/>
    </xf>
    <xf numFmtId="0" fontId="2" fillId="5" borderId="0" xfId="0" applyFont="1" applyFill="1" applyAlignment="1">
      <alignment horizontal="right"/>
    </xf>
    <xf numFmtId="0" fontId="23" fillId="5" borderId="0" xfId="0" applyFont="1" applyFill="1"/>
    <xf numFmtId="0" fontId="2" fillId="5" borderId="0" xfId="3" applyFont="1" applyFill="1"/>
    <xf numFmtId="0" fontId="23" fillId="5" borderId="0" xfId="0" applyFont="1" applyFill="1" applyAlignment="1">
      <alignment vertical="center"/>
    </xf>
    <xf numFmtId="0" fontId="3" fillId="5" borderId="0" xfId="3" applyFont="1" applyFill="1" applyAlignment="1">
      <alignment wrapText="1"/>
    </xf>
    <xf numFmtId="0" fontId="3" fillId="5" borderId="0" xfId="3" applyFont="1" applyFill="1"/>
    <xf numFmtId="0" fontId="24" fillId="5" borderId="0" xfId="0" applyFont="1" applyFill="1" applyAlignment="1">
      <alignment vertical="top"/>
    </xf>
    <xf numFmtId="0" fontId="2" fillId="5" borderId="4" xfId="0" applyFont="1" applyFill="1" applyBorder="1"/>
    <xf numFmtId="0" fontId="30" fillId="5" borderId="0" xfId="0" applyFont="1" applyFill="1" applyAlignment="1">
      <alignment wrapText="1"/>
    </xf>
    <xf numFmtId="0" fontId="27" fillId="4" borderId="0" xfId="0" applyFont="1" applyFill="1" applyAlignment="1">
      <alignment horizontal="left"/>
    </xf>
    <xf numFmtId="0" fontId="33" fillId="4" borderId="0" xfId="1" applyFont="1" applyFill="1" applyBorder="1" applyAlignment="1" applyProtection="1"/>
    <xf numFmtId="0" fontId="12" fillId="4" borderId="0" xfId="0" applyFont="1" applyFill="1"/>
    <xf numFmtId="0" fontId="33" fillId="4" borderId="5" xfId="1" applyFont="1" applyFill="1" applyBorder="1" applyAlignment="1" applyProtection="1"/>
    <xf numFmtId="0" fontId="0" fillId="5" borderId="0" xfId="0" applyFill="1" applyAlignment="1">
      <alignment horizontal="left"/>
    </xf>
    <xf numFmtId="0" fontId="1" fillId="4" borderId="1" xfId="0" applyFont="1" applyFill="1" applyBorder="1" applyAlignment="1">
      <alignment horizontal="left" wrapText="1"/>
    </xf>
    <xf numFmtId="0" fontId="2" fillId="4" borderId="0" xfId="0" applyFont="1" applyFill="1" applyAlignment="1">
      <alignment horizontal="left" wrapText="1"/>
    </xf>
    <xf numFmtId="0" fontId="2" fillId="4" borderId="0" xfId="0" applyFont="1" applyFill="1" applyAlignment="1">
      <alignment horizontal="left"/>
    </xf>
    <xf numFmtId="0" fontId="2" fillId="5" borderId="0" xfId="0" applyFont="1" applyFill="1" applyAlignment="1">
      <alignment horizontal="left"/>
    </xf>
    <xf numFmtId="0" fontId="1" fillId="5" borderId="0" xfId="0" applyFont="1" applyFill="1" applyAlignment="1">
      <alignment horizontal="left"/>
    </xf>
    <xf numFmtId="0" fontId="25" fillId="5" borderId="1" xfId="0" applyFont="1" applyFill="1" applyBorder="1" applyAlignment="1">
      <alignment horizontal="left"/>
    </xf>
    <xf numFmtId="0" fontId="33" fillId="6" borderId="0" xfId="1" applyFont="1" applyFill="1" applyBorder="1" applyAlignment="1" applyProtection="1"/>
    <xf numFmtId="0" fontId="6" fillId="4" borderId="0" xfId="0" applyFont="1" applyFill="1" applyAlignment="1">
      <alignment vertical="top" wrapText="1"/>
    </xf>
    <xf numFmtId="0" fontId="25" fillId="5" borderId="0" xfId="0" applyFont="1" applyFill="1"/>
    <xf numFmtId="0" fontId="3" fillId="5" borderId="0" xfId="3" applyFont="1" applyFill="1" applyAlignment="1">
      <alignment vertical="top" wrapText="1"/>
    </xf>
    <xf numFmtId="0" fontId="1" fillId="5" borderId="0" xfId="3" applyFont="1" applyFill="1"/>
    <xf numFmtId="0" fontId="2" fillId="5" borderId="0" xfId="0" applyFont="1" applyFill="1" applyAlignment="1">
      <alignment horizontal="left" wrapText="1"/>
    </xf>
    <xf numFmtId="0" fontId="2" fillId="5" borderId="0" xfId="0" applyFont="1" applyFill="1" applyAlignment="1">
      <alignment wrapText="1"/>
    </xf>
    <xf numFmtId="0" fontId="1" fillId="5" borderId="0" xfId="0" applyFont="1" applyFill="1"/>
    <xf numFmtId="0" fontId="2" fillId="5" borderId="0" xfId="0" applyFont="1" applyFill="1" applyAlignment="1">
      <alignment horizontal="right" vertical="top"/>
    </xf>
    <xf numFmtId="0" fontId="2" fillId="4" borderId="0" xfId="0" applyFont="1" applyFill="1" applyAlignment="1">
      <alignment vertical="top" wrapText="1"/>
    </xf>
    <xf numFmtId="0" fontId="2" fillId="0" borderId="0" xfId="0" applyFont="1"/>
    <xf numFmtId="0" fontId="2" fillId="5" borderId="3" xfId="0" applyFont="1" applyFill="1" applyBorder="1" applyAlignment="1">
      <alignment horizontal="right" vertical="top"/>
    </xf>
    <xf numFmtId="0" fontId="2" fillId="4" borderId="3" xfId="0" applyFont="1" applyFill="1" applyBorder="1" applyAlignment="1">
      <alignment vertical="top" wrapText="1"/>
    </xf>
    <xf numFmtId="0" fontId="1" fillId="4" borderId="7" xfId="0" applyFont="1" applyFill="1" applyBorder="1" applyAlignment="1">
      <alignment horizontal="left" wrapText="1"/>
    </xf>
    <xf numFmtId="0" fontId="11" fillId="5" borderId="0" xfId="0" applyFont="1" applyFill="1" applyAlignment="1">
      <alignment horizontal="right"/>
    </xf>
    <xf numFmtId="167" fontId="2" fillId="4" borderId="0" xfId="0" applyNumberFormat="1" applyFont="1" applyFill="1" applyAlignment="1">
      <alignment horizontal="left" vertical="top"/>
    </xf>
    <xf numFmtId="167" fontId="2" fillId="2" borderId="0" xfId="0" applyNumberFormat="1" applyFont="1" applyFill="1" applyAlignment="1">
      <alignment horizontal="left"/>
    </xf>
    <xf numFmtId="167" fontId="2" fillId="4" borderId="0" xfId="0" applyNumberFormat="1" applyFont="1" applyFill="1" applyAlignment="1">
      <alignment horizontal="left"/>
    </xf>
    <xf numFmtId="167" fontId="2" fillId="2" borderId="0" xfId="0" applyNumberFormat="1" applyFont="1" applyFill="1" applyAlignment="1">
      <alignment horizontal="left" vertical="top"/>
    </xf>
    <xf numFmtId="167" fontId="2" fillId="2" borderId="8" xfId="0" applyNumberFormat="1" applyFont="1" applyFill="1" applyBorder="1" applyAlignment="1">
      <alignment horizontal="left"/>
    </xf>
    <xf numFmtId="0" fontId="10" fillId="5" borderId="0" xfId="0" applyFont="1" applyFill="1" applyAlignment="1">
      <alignment horizontal="right"/>
    </xf>
    <xf numFmtId="164" fontId="1" fillId="4" borderId="1" xfId="0" applyNumberFormat="1" applyFont="1" applyFill="1" applyBorder="1" applyAlignment="1">
      <alignment horizontal="left"/>
    </xf>
    <xf numFmtId="164" fontId="2" fillId="4" borderId="0" xfId="0" applyNumberFormat="1" applyFont="1" applyFill="1" applyAlignment="1">
      <alignment horizontal="left"/>
    </xf>
    <xf numFmtId="167" fontId="2" fillId="4" borderId="8" xfId="0" applyNumberFormat="1" applyFont="1" applyFill="1" applyBorder="1" applyAlignment="1">
      <alignment horizontal="left"/>
    </xf>
    <xf numFmtId="0" fontId="1" fillId="4" borderId="0" xfId="0" applyFont="1" applyFill="1" applyAlignment="1">
      <alignment horizontal="left" wrapText="1"/>
    </xf>
    <xf numFmtId="164" fontId="1" fillId="4" borderId="1" xfId="0" applyNumberFormat="1" applyFont="1" applyFill="1" applyBorder="1" applyAlignment="1">
      <alignment horizontal="left" wrapText="1"/>
    </xf>
    <xf numFmtId="164" fontId="2" fillId="4" borderId="0" xfId="0" applyNumberFormat="1" applyFont="1" applyFill="1" applyAlignment="1">
      <alignment horizontal="left" wrapText="1"/>
    </xf>
    <xf numFmtId="164" fontId="2" fillId="5" borderId="0" xfId="0" applyNumberFormat="1" applyFont="1" applyFill="1" applyAlignment="1">
      <alignment horizontal="left" wrapText="1"/>
    </xf>
    <xf numFmtId="0" fontId="2" fillId="4" borderId="0" xfId="0" applyFont="1" applyFill="1" applyAlignment="1">
      <alignment vertical="center"/>
    </xf>
    <xf numFmtId="0" fontId="33" fillId="4" borderId="5" xfId="1" applyFont="1" applyFill="1" applyBorder="1" applyAlignment="1" applyProtection="1">
      <alignment horizontal="left"/>
    </xf>
    <xf numFmtId="0" fontId="10" fillId="5" borderId="0" xfId="0" applyFont="1" applyFill="1" applyAlignment="1">
      <alignment horizontal="left"/>
    </xf>
    <xf numFmtId="0" fontId="5" fillId="5" borderId="0" xfId="0" applyFont="1" applyFill="1" applyAlignment="1">
      <alignment horizontal="left"/>
    </xf>
    <xf numFmtId="0" fontId="30" fillId="5" borderId="3" xfId="0" applyFont="1" applyFill="1" applyBorder="1" applyAlignment="1">
      <alignment wrapText="1"/>
    </xf>
    <xf numFmtId="0" fontId="0" fillId="5" borderId="3" xfId="0" applyFill="1" applyBorder="1"/>
    <xf numFmtId="0" fontId="2" fillId="2" borderId="9" xfId="0" applyFont="1" applyFill="1" applyBorder="1" applyAlignment="1">
      <alignment vertical="center"/>
    </xf>
    <xf numFmtId="0" fontId="2" fillId="2" borderId="0" xfId="0" applyFont="1" applyFill="1" applyAlignment="1">
      <alignment vertical="center"/>
    </xf>
    <xf numFmtId="0" fontId="1" fillId="2" borderId="0" xfId="0" applyFont="1" applyFill="1"/>
    <xf numFmtId="164" fontId="6" fillId="5" borderId="0" xfId="0" applyNumberFormat="1" applyFont="1" applyFill="1" applyAlignment="1">
      <alignment horizontal="left"/>
    </xf>
    <xf numFmtId="164" fontId="2" fillId="4" borderId="0" xfId="0" applyNumberFormat="1" applyFont="1" applyFill="1" applyAlignment="1">
      <alignment horizontal="left" vertical="center"/>
    </xf>
    <xf numFmtId="164" fontId="1" fillId="4" borderId="0" xfId="0" applyNumberFormat="1" applyFont="1" applyFill="1" applyAlignment="1">
      <alignment horizontal="left"/>
    </xf>
    <xf numFmtId="164" fontId="2" fillId="5" borderId="0" xfId="0" applyNumberFormat="1" applyFont="1" applyFill="1" applyAlignment="1">
      <alignment horizontal="left" vertical="center"/>
    </xf>
    <xf numFmtId="0" fontId="10" fillId="5" borderId="2" xfId="0" applyFont="1" applyFill="1" applyBorder="1" applyAlignment="1">
      <alignment horizontal="left"/>
    </xf>
    <xf numFmtId="165" fontId="2" fillId="4" borderId="0" xfId="0" applyNumberFormat="1" applyFont="1" applyFill="1" applyAlignment="1">
      <alignment horizontal="left" vertical="center"/>
    </xf>
    <xf numFmtId="165" fontId="1" fillId="4" borderId="0" xfId="0" applyNumberFormat="1" applyFont="1" applyFill="1" applyAlignment="1">
      <alignment horizontal="left"/>
    </xf>
    <xf numFmtId="164" fontId="1" fillId="4" borderId="0" xfId="0" applyNumberFormat="1" applyFont="1" applyFill="1" applyAlignment="1">
      <alignment horizontal="left" vertical="center"/>
    </xf>
    <xf numFmtId="165" fontId="1" fillId="4" borderId="0" xfId="0" applyNumberFormat="1" applyFont="1" applyFill="1" applyAlignment="1">
      <alignment horizontal="left" vertical="center"/>
    </xf>
    <xf numFmtId="164" fontId="2" fillId="2" borderId="9" xfId="0" applyNumberFormat="1" applyFont="1" applyFill="1" applyBorder="1" applyAlignment="1">
      <alignment horizontal="left" vertical="center"/>
    </xf>
    <xf numFmtId="165" fontId="2" fillId="2" borderId="9" xfId="0" applyNumberFormat="1" applyFont="1" applyFill="1" applyBorder="1" applyAlignment="1">
      <alignment horizontal="left" vertical="center"/>
    </xf>
    <xf numFmtId="164" fontId="2" fillId="2" borderId="0" xfId="0" applyNumberFormat="1" applyFont="1" applyFill="1" applyAlignment="1">
      <alignment horizontal="left" vertical="center"/>
    </xf>
    <xf numFmtId="165" fontId="2" fillId="2" borderId="0" xfId="0" applyNumberFormat="1" applyFont="1" applyFill="1" applyAlignment="1">
      <alignment horizontal="left" vertical="center"/>
    </xf>
    <xf numFmtId="164" fontId="1" fillId="2" borderId="0" xfId="0" applyNumberFormat="1" applyFont="1" applyFill="1" applyAlignment="1">
      <alignment horizontal="left"/>
    </xf>
    <xf numFmtId="165" fontId="1" fillId="2" borderId="0" xfId="0" applyNumberFormat="1" applyFont="1" applyFill="1" applyAlignment="1">
      <alignment horizontal="left"/>
    </xf>
    <xf numFmtId="164" fontId="1" fillId="2" borderId="3" xfId="0" applyNumberFormat="1" applyFont="1" applyFill="1" applyBorder="1" applyAlignment="1">
      <alignment horizontal="left"/>
    </xf>
    <xf numFmtId="164" fontId="2" fillId="3" borderId="9" xfId="0" applyNumberFormat="1" applyFont="1" applyFill="1" applyBorder="1" applyAlignment="1">
      <alignment horizontal="left" vertical="center"/>
    </xf>
    <xf numFmtId="0" fontId="1" fillId="4" borderId="3" xfId="0" applyFont="1" applyFill="1" applyBorder="1" applyAlignment="1">
      <alignment horizontal="left" wrapText="1"/>
    </xf>
    <xf numFmtId="164" fontId="1" fillId="4" borderId="3" xfId="0" applyNumberFormat="1" applyFont="1" applyFill="1" applyBorder="1" applyAlignment="1">
      <alignment horizontal="left"/>
    </xf>
    <xf numFmtId="165" fontId="1" fillId="4" borderId="3" xfId="0" applyNumberFormat="1" applyFont="1" applyFill="1" applyBorder="1" applyAlignment="1">
      <alignment horizontal="left"/>
    </xf>
    <xf numFmtId="164" fontId="1" fillId="4" borderId="3" xfId="0" applyNumberFormat="1" applyFont="1" applyFill="1" applyBorder="1" applyAlignment="1">
      <alignment horizontal="left" wrapText="1"/>
    </xf>
    <xf numFmtId="169" fontId="8" fillId="5" borderId="0" xfId="0" applyNumberFormat="1" applyFont="1" applyFill="1" applyAlignment="1">
      <alignment vertical="center"/>
    </xf>
    <xf numFmtId="169" fontId="3" fillId="5" borderId="0" xfId="0" applyNumberFormat="1" applyFont="1" applyFill="1"/>
    <xf numFmtId="164" fontId="6" fillId="4" borderId="0" xfId="0" applyNumberFormat="1" applyFont="1" applyFill="1" applyAlignment="1">
      <alignment horizontal="left" vertical="center"/>
    </xf>
    <xf numFmtId="0" fontId="12" fillId="5" borderId="0" xfId="0" applyFont="1" applyFill="1" applyAlignment="1">
      <alignment horizontal="center"/>
    </xf>
    <xf numFmtId="0" fontId="24" fillId="5" borderId="0" xfId="9" applyFont="1" applyFill="1"/>
    <xf numFmtId="0" fontId="37" fillId="5" borderId="1" xfId="9" applyFont="1" applyFill="1" applyBorder="1" applyAlignment="1">
      <alignment horizontal="left" wrapText="1"/>
    </xf>
    <xf numFmtId="0" fontId="37" fillId="5" borderId="1" xfId="9" applyFont="1" applyFill="1" applyBorder="1" applyAlignment="1">
      <alignment horizontal="right" wrapText="1"/>
    </xf>
    <xf numFmtId="166" fontId="24" fillId="5" borderId="0" xfId="6" applyNumberFormat="1" applyFont="1" applyFill="1"/>
    <xf numFmtId="0" fontId="24" fillId="5" borderId="0" xfId="10" applyFont="1" applyFill="1"/>
    <xf numFmtId="0" fontId="37" fillId="5" borderId="1" xfId="10" applyFont="1" applyFill="1" applyBorder="1" applyAlignment="1">
      <alignment horizontal="left" wrapText="1"/>
    </xf>
    <xf numFmtId="3" fontId="2" fillId="5" borderId="0" xfId="0" applyNumberFormat="1" applyFont="1" applyFill="1" applyAlignment="1">
      <alignment horizontal="left"/>
    </xf>
    <xf numFmtId="0" fontId="1" fillId="4" borderId="1" xfId="0" applyFont="1" applyFill="1" applyBorder="1" applyAlignment="1">
      <alignment horizontal="left"/>
    </xf>
    <xf numFmtId="0" fontId="1" fillId="4" borderId="10" xfId="0" applyFont="1" applyFill="1" applyBorder="1" applyAlignment="1">
      <alignment horizontal="left"/>
    </xf>
    <xf numFmtId="0" fontId="25" fillId="5" borderId="1" xfId="0" applyFont="1" applyFill="1" applyBorder="1" applyAlignment="1">
      <alignment wrapText="1"/>
    </xf>
    <xf numFmtId="0" fontId="25" fillId="5" borderId="1" xfId="0" applyFont="1" applyFill="1" applyBorder="1" applyAlignment="1">
      <alignment horizontal="right"/>
    </xf>
    <xf numFmtId="0" fontId="25" fillId="5" borderId="1" xfId="0" applyFont="1" applyFill="1" applyBorder="1" applyAlignment="1">
      <alignment horizontal="center"/>
    </xf>
    <xf numFmtId="0" fontId="25" fillId="5" borderId="1" xfId="0" applyFont="1" applyFill="1" applyBorder="1"/>
    <xf numFmtId="0" fontId="1" fillId="4" borderId="1" xfId="0" applyFont="1" applyFill="1" applyBorder="1" applyAlignment="1">
      <alignment horizontal="right"/>
    </xf>
    <xf numFmtId="0" fontId="9" fillId="5" borderId="0" xfId="2" applyFont="1" applyFill="1" applyAlignment="1">
      <alignment wrapText="1"/>
    </xf>
    <xf numFmtId="0" fontId="1" fillId="4" borderId="1" xfId="0" applyFont="1" applyFill="1" applyBorder="1"/>
    <xf numFmtId="0" fontId="2" fillId="4" borderId="0" xfId="2" applyFont="1" applyFill="1" applyAlignment="1">
      <alignment horizontal="left"/>
    </xf>
    <xf numFmtId="3" fontId="2" fillId="4" borderId="0" xfId="2" applyNumberFormat="1" applyFont="1" applyFill="1"/>
    <xf numFmtId="3" fontId="2" fillId="4" borderId="0" xfId="2" applyNumberFormat="1" applyFont="1" applyFill="1" applyAlignment="1">
      <alignment horizontal="right"/>
    </xf>
    <xf numFmtId="165" fontId="40" fillId="5" borderId="0" xfId="2" applyNumberFormat="1" applyFont="1" applyFill="1" applyAlignment="1">
      <alignment horizontal="right"/>
    </xf>
    <xf numFmtId="3" fontId="0" fillId="5" borderId="0" xfId="0" applyNumberFormat="1" applyFill="1"/>
    <xf numFmtId="169" fontId="3" fillId="5" borderId="0" xfId="0" applyNumberFormat="1" applyFont="1" applyFill="1" applyAlignment="1">
      <alignment horizontal="center"/>
    </xf>
    <xf numFmtId="169" fontId="3" fillId="5" borderId="0" xfId="0" applyNumberFormat="1" applyFont="1" applyFill="1" applyAlignment="1">
      <alignment horizontal="left"/>
    </xf>
    <xf numFmtId="169" fontId="3" fillId="5" borderId="0" xfId="0" applyNumberFormat="1" applyFont="1" applyFill="1" applyAlignment="1">
      <alignment horizontal="right"/>
    </xf>
    <xf numFmtId="164" fontId="2" fillId="4" borderId="8" xfId="0" applyNumberFormat="1" applyFont="1" applyFill="1" applyBorder="1" applyAlignment="1">
      <alignment horizontal="left"/>
    </xf>
    <xf numFmtId="164" fontId="2" fillId="4" borderId="0" xfId="0" applyNumberFormat="1" applyFont="1" applyFill="1" applyAlignment="1">
      <alignment horizontal="left" vertical="top"/>
    </xf>
    <xf numFmtId="168" fontId="2" fillId="4" borderId="0" xfId="0" applyNumberFormat="1" applyFont="1" applyFill="1" applyAlignment="1">
      <alignment horizontal="left"/>
    </xf>
    <xf numFmtId="164" fontId="2" fillId="2" borderId="0" xfId="0" applyNumberFormat="1" applyFont="1" applyFill="1" applyAlignment="1">
      <alignment horizontal="left"/>
    </xf>
    <xf numFmtId="0" fontId="26" fillId="5" borderId="0" xfId="1" applyFont="1" applyFill="1" applyAlignment="1" applyProtection="1"/>
    <xf numFmtId="0" fontId="32" fillId="5" borderId="0" xfId="0" applyFont="1" applyFill="1"/>
    <xf numFmtId="0" fontId="41" fillId="5" borderId="0" xfId="1" applyFont="1" applyFill="1" applyAlignment="1" applyProtection="1">
      <alignment vertical="center"/>
    </xf>
    <xf numFmtId="0" fontId="33" fillId="0" borderId="0" xfId="1" applyFont="1" applyAlignment="1" applyProtection="1"/>
    <xf numFmtId="0" fontId="35" fillId="5" borderId="0" xfId="0" applyFont="1" applyFill="1"/>
    <xf numFmtId="0" fontId="2" fillId="5" borderId="0" xfId="0" applyFont="1" applyFill="1" applyAlignment="1">
      <alignment horizontal="right" wrapText="1"/>
    </xf>
    <xf numFmtId="166" fontId="24" fillId="5" borderId="0" xfId="6" applyNumberFormat="1" applyFont="1" applyFill="1" applyAlignment="1">
      <alignment horizontal="left"/>
    </xf>
    <xf numFmtId="0" fontId="2" fillId="6" borderId="0" xfId="1" applyFont="1" applyFill="1" applyBorder="1" applyAlignment="1" applyProtection="1"/>
    <xf numFmtId="0" fontId="42" fillId="5" borderId="0" xfId="0" applyFont="1" applyFill="1" applyAlignment="1">
      <alignment wrapText="1"/>
    </xf>
    <xf numFmtId="0" fontId="0" fillId="5" borderId="0" xfId="0" applyFill="1" applyAlignment="1">
      <alignment horizontal="right"/>
    </xf>
    <xf numFmtId="0" fontId="2" fillId="5" borderId="0" xfId="0" applyFont="1" applyFill="1" applyAlignment="1">
      <alignment horizontal="right" vertical="top" wrapText="1"/>
    </xf>
    <xf numFmtId="0" fontId="35" fillId="4" borderId="0" xfId="0" applyFont="1" applyFill="1"/>
    <xf numFmtId="0" fontId="10" fillId="4" borderId="0" xfId="0" applyFont="1" applyFill="1" applyAlignment="1">
      <alignment horizontal="right"/>
    </xf>
    <xf numFmtId="167" fontId="2" fillId="4" borderId="0" xfId="0" applyNumberFormat="1" applyFont="1" applyFill="1" applyAlignment="1">
      <alignment horizontal="left" vertical="center"/>
    </xf>
    <xf numFmtId="0" fontId="25" fillId="5" borderId="0" xfId="0" applyFont="1" applyFill="1" applyAlignment="1">
      <alignment horizontal="left"/>
    </xf>
    <xf numFmtId="167" fontId="2" fillId="2" borderId="0" xfId="0" applyNumberFormat="1" applyFont="1" applyFill="1" applyAlignment="1">
      <alignment horizontal="left" vertical="center"/>
    </xf>
    <xf numFmtId="164" fontId="1" fillId="2" borderId="0" xfId="0" applyNumberFormat="1" applyFont="1" applyFill="1" applyAlignment="1">
      <alignment horizontal="left" vertical="center"/>
    </xf>
    <xf numFmtId="0" fontId="10" fillId="4" borderId="0" xfId="0" applyFont="1" applyFill="1" applyAlignment="1">
      <alignment horizontal="left"/>
    </xf>
    <xf numFmtId="0" fontId="1" fillId="4" borderId="0" xfId="0" applyFont="1" applyFill="1" applyAlignment="1">
      <alignment vertical="center"/>
    </xf>
    <xf numFmtId="164" fontId="1" fillId="4" borderId="0" xfId="0" applyNumberFormat="1" applyFont="1" applyFill="1" applyAlignment="1">
      <alignment horizontal="left" wrapText="1"/>
    </xf>
    <xf numFmtId="0" fontId="6" fillId="5" borderId="0" xfId="0" applyFont="1" applyFill="1" applyAlignment="1">
      <alignment wrapText="1"/>
    </xf>
    <xf numFmtId="0" fontId="1" fillId="2" borderId="0" xfId="0" applyFont="1" applyFill="1" applyAlignment="1">
      <alignment vertical="center"/>
    </xf>
    <xf numFmtId="165" fontId="1" fillId="2" borderId="0" xfId="0" applyNumberFormat="1" applyFont="1" applyFill="1" applyAlignment="1">
      <alignment horizontal="left" vertical="center"/>
    </xf>
    <xf numFmtId="0" fontId="1" fillId="2" borderId="1" xfId="0" applyFont="1" applyFill="1" applyBorder="1"/>
    <xf numFmtId="164" fontId="1" fillId="2" borderId="1" xfId="0" applyNumberFormat="1" applyFont="1" applyFill="1" applyBorder="1" applyAlignment="1">
      <alignment horizontal="left"/>
    </xf>
    <xf numFmtId="165" fontId="1" fillId="2" borderId="1" xfId="0" applyNumberFormat="1" applyFont="1" applyFill="1" applyBorder="1" applyAlignment="1">
      <alignment horizontal="left"/>
    </xf>
    <xf numFmtId="165" fontId="1" fillId="4" borderId="1" xfId="0" applyNumberFormat="1" applyFont="1" applyFill="1" applyBorder="1" applyAlignment="1">
      <alignment horizontal="left"/>
    </xf>
    <xf numFmtId="0" fontId="1" fillId="4" borderId="3" xfId="0" applyFont="1" applyFill="1" applyBorder="1"/>
    <xf numFmtId="0" fontId="1" fillId="4" borderId="0" xfId="0" applyFont="1" applyFill="1" applyAlignment="1">
      <alignment horizontal="center"/>
    </xf>
    <xf numFmtId="0" fontId="1" fillId="5" borderId="0" xfId="0" applyFont="1" applyFill="1" applyAlignment="1">
      <alignment horizontal="center"/>
    </xf>
    <xf numFmtId="169" fontId="3" fillId="5" borderId="0" xfId="5" applyNumberFormat="1" applyFont="1" applyFill="1" applyBorder="1" applyAlignment="1">
      <alignment horizontal="center"/>
    </xf>
    <xf numFmtId="169" fontId="3" fillId="5" borderId="0" xfId="5" applyNumberFormat="1" applyFont="1" applyFill="1" applyBorder="1" applyAlignment="1">
      <alignment horizontal="left"/>
    </xf>
    <xf numFmtId="169" fontId="3" fillId="5" borderId="0" xfId="5" applyNumberFormat="1" applyFont="1" applyFill="1" applyBorder="1" applyAlignment="1">
      <alignment horizontal="right"/>
    </xf>
    <xf numFmtId="0" fontId="1" fillId="4" borderId="7" xfId="0" applyFont="1" applyFill="1" applyBorder="1"/>
    <xf numFmtId="0" fontId="2" fillId="4" borderId="2" xfId="0" applyFont="1" applyFill="1" applyBorder="1"/>
    <xf numFmtId="0" fontId="2" fillId="4" borderId="0" xfId="0" applyFont="1" applyFill="1"/>
    <xf numFmtId="166" fontId="24" fillId="5" borderId="0" xfId="6" applyNumberFormat="1"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left"/>
    </xf>
    <xf numFmtId="0" fontId="27" fillId="4" borderId="0" xfId="0" applyFont="1" applyFill="1" applyAlignment="1">
      <alignment horizontal="right"/>
    </xf>
    <xf numFmtId="166" fontId="24" fillId="5" borderId="0" xfId="6" applyNumberFormat="1" applyFont="1" applyFill="1" applyBorder="1"/>
    <xf numFmtId="0" fontId="1" fillId="4" borderId="1" xfId="0" applyFont="1" applyFill="1" applyBorder="1" applyAlignment="1">
      <alignment horizontal="left" vertical="center"/>
    </xf>
    <xf numFmtId="0" fontId="1" fillId="4" borderId="0" xfId="0" applyFont="1" applyFill="1"/>
    <xf numFmtId="3" fontId="1" fillId="4" borderId="0" xfId="2" applyNumberFormat="1" applyFont="1" applyFill="1"/>
    <xf numFmtId="0" fontId="2" fillId="4" borderId="1" xfId="2" applyFont="1" applyFill="1" applyBorder="1" applyAlignment="1">
      <alignment horizontal="left"/>
    </xf>
    <xf numFmtId="3" fontId="2" fillId="4" borderId="1" xfId="2" applyNumberFormat="1" applyFont="1" applyFill="1" applyBorder="1"/>
    <xf numFmtId="0" fontId="3" fillId="5" borderId="2" xfId="0" applyFont="1" applyFill="1" applyBorder="1"/>
    <xf numFmtId="0" fontId="25" fillId="5" borderId="7" xfId="0" applyFont="1" applyFill="1" applyBorder="1" applyAlignment="1">
      <alignment wrapText="1"/>
    </xf>
  </cellXfs>
  <cellStyles count="11">
    <cellStyle name="Comma" xfId="6" builtinId="3"/>
    <cellStyle name="Comma 2" xfId="8" xr:uid="{36D3528C-3A16-4D0D-9B6F-7DF62748577C}"/>
    <cellStyle name="Heading 1" xfId="4" builtinId="16"/>
    <cellStyle name="Hyperlink" xfId="1" builtinId="8"/>
    <cellStyle name="Hyperlink 2" xfId="7" xr:uid="{00000000-0005-0000-0000-000005000000}"/>
    <cellStyle name="Normal" xfId="0" builtinId="0"/>
    <cellStyle name="Normal 2" xfId="3" xr:uid="{00000000-0005-0000-0000-000007000000}"/>
    <cellStyle name="Normal 2 2" xfId="2" xr:uid="{00000000-0005-0000-0000-000008000000}"/>
    <cellStyle name="Normal 3" xfId="9" xr:uid="{72878C69-EB2D-4AE3-8A74-AF30CFFC73BA}"/>
    <cellStyle name="Normal 4" xfId="10" xr:uid="{AB1CA33A-B2AB-41D4-8100-33652076398B}"/>
    <cellStyle name="Percent" xfId="5" builtinId="5"/>
  </cellStyles>
  <dxfs count="168">
    <dxf>
      <font>
        <strike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border diagonalUp="0" diagonalDown="0">
        <left/>
        <right/>
        <top style="thin">
          <color indexed="64"/>
        </top>
        <bottom style="thin">
          <color indexed="64"/>
        </bottom>
      </border>
    </dxf>
    <dxf>
      <font>
        <strike val="0"/>
        <outline val="0"/>
        <shadow val="0"/>
        <u val="none"/>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fill>
        <patternFill>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fill>
        <patternFill>
          <fgColor indexed="64"/>
          <bgColor theme="0"/>
        </patternFill>
      </fill>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name val="Calibri"/>
        <family val="2"/>
        <scheme val="minor"/>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rgb="FF808080"/>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outline="0">
        <top style="medium">
          <color theme="1"/>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6" formatCode="_-* #,##0_-;\-* #,##0_-;_-*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border diagonalUp="0" diagonalDown="0">
        <left/>
        <right/>
        <top style="medium">
          <color indexed="64"/>
        </top>
        <bottom/>
        <vertical/>
        <horizontal/>
      </border>
    </dxf>
    <dxf>
      <border outline="0">
        <left style="thin">
          <color indexed="9"/>
        </left>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left/>
        <right style="thin">
          <color indexed="64"/>
        </right>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numFmt numFmtId="169"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right/>
        <top/>
        <bottom style="medium">
          <color indexed="64"/>
        </bottom>
      </border>
    </dxf>
    <dxf>
      <border outline="0">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general" vertical="center"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border outline="0">
        <top style="medium">
          <color theme="1"/>
        </top>
        <bottom style="medium">
          <color theme="1"/>
        </bottom>
      </border>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border outline="0">
        <top style="medium">
          <color theme="1"/>
        </top>
        <bottom style="medium">
          <color theme="1"/>
        </bottom>
      </border>
    </dxf>
    <dxf>
      <font>
        <strike val="0"/>
        <outline val="0"/>
        <shadow val="0"/>
        <u val="none"/>
        <vertAlign val="baseline"/>
        <sz val="12"/>
        <color auto="1"/>
        <name val="Calibri"/>
        <family val="2"/>
        <scheme val="minor"/>
      </font>
      <fill>
        <patternFill>
          <bgColor theme="0"/>
        </patternFill>
      </fill>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0_)"/>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0_)"/>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0_)"/>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0_)"/>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0_)"/>
      <fill>
        <patternFill patternType="solid">
          <fgColor indexed="9"/>
          <bgColor theme="0"/>
        </patternFill>
      </fill>
      <alignment horizontal="left" vertical="bottom" textRotation="0" wrapText="0" indent="0" justifyLastLine="0" shrinkToFit="0" readingOrder="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dxf>
    <dxf>
      <font>
        <b/>
        <i val="0"/>
        <strike val="0"/>
      </font>
      <border diagonalUp="1">
        <top style="thick">
          <color auto="1"/>
        </top>
        <bottom/>
        <diagonal style="thin">
          <color auto="1"/>
        </diagonal>
        <horizontal style="thick">
          <color auto="1"/>
        </horizontal>
      </border>
    </dxf>
  </dxfs>
  <tableStyles count="1" defaultTableStyle="TableStyleMedium2" defaultPivotStyle="PivotStyleLight16">
    <tableStyle name="Table Style 1" pivot="0" count="1" xr9:uid="{B79EA4CA-7284-46EB-A9B7-6DAAF51D535A}">
      <tableStyleElement type="headerRow" dxfId="167"/>
    </tableStyle>
  </tableStyles>
  <colors>
    <mruColors>
      <color rgb="FF8080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146050</xdr:rowOff>
    </xdr:from>
    <xdr:to>
      <xdr:col>0</xdr:col>
      <xdr:colOff>2752725</xdr:colOff>
      <xdr:row>14</xdr:row>
      <xdr:rowOff>57150</xdr:rowOff>
    </xdr:to>
    <xdr:pic>
      <xdr:nvPicPr>
        <xdr:cNvPr id="5" name="Picture 6" descr="Department for Infrastructure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81350"/>
          <a:ext cx="2752725" cy="1568450"/>
        </a:xfrm>
        <a:prstGeom prst="rect">
          <a:avLst/>
        </a:prstGeom>
        <a:noFill/>
        <a:ln w="9525">
          <a:noFill/>
          <a:miter lim="800000"/>
          <a:headEnd/>
          <a:tailEnd/>
        </a:ln>
      </xdr:spPr>
    </xdr:pic>
    <xdr:clientData/>
  </xdr:twoCellAnchor>
  <xdr:twoCellAnchor>
    <xdr:from>
      <xdr:col>0</xdr:col>
      <xdr:colOff>5448300</xdr:colOff>
      <xdr:row>7</xdr:row>
      <xdr:rowOff>19050</xdr:rowOff>
    </xdr:from>
    <xdr:to>
      <xdr:col>0</xdr:col>
      <xdr:colOff>8126555</xdr:colOff>
      <xdr:row>13</xdr:row>
      <xdr:rowOff>157199</xdr:rowOff>
    </xdr:to>
    <xdr:pic>
      <xdr:nvPicPr>
        <xdr:cNvPr id="6" name="Picture 2" descr="NISRA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48300" y="3364230"/>
          <a:ext cx="2678255" cy="1235429"/>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055005-C5C3-4C79-B91F-84A4837AA413}" name="road_length_2020" displayName="road_length_2020" ref="A5:F15" totalsRowShown="0" headerRowDxfId="166" headerRowBorderDxfId="165" tableBorderDxfId="164">
  <autoFilter ref="A5:F15" xr:uid="{DC055005-C5C3-4C79-B91F-84A4837AA413}">
    <filterColumn colId="0" hiddenButton="1"/>
    <filterColumn colId="1" hiddenButton="1"/>
    <filterColumn colId="2" hiddenButton="1"/>
    <filterColumn colId="3" hiddenButton="1"/>
    <filterColumn colId="4" hiddenButton="1"/>
    <filterColumn colId="5" hiddenButton="1"/>
  </autoFilter>
  <tableColumns count="6">
    <tableColumn id="1" xr3:uid="{7EC4FE23-8D8E-4041-9B9D-C7E93C380EF0}" name="Road Class [note3]" dataDxfId="163"/>
    <tableColumn id="2" xr3:uid="{B00184FD-F0CE-45DD-A673-A3E5CD071EE9}" name="Carriageway Class"/>
    <tableColumn id="3" xr3:uid="{51DF9871-79B0-46A8-B9F6-91765CD30AB7}" name="Urban Length_x000a_(Carriageway) "/>
    <tableColumn id="4" xr3:uid="{0B193182-47C6-4821-AA09-A4772124B16F}" name="Rural Length_x000a_(Carriageway)"/>
    <tableColumn id="5" xr3:uid="{813B633D-F6F5-408E-B85D-98E8EB3277CA}" name="Total (Carriageway Length) [note4]"/>
    <tableColumn id="6" xr3:uid="{370C1AB8-9448-4318-A6D8-21BD81FF1681}" name="Total Route Length [note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7C1AED-6505-40CE-8C81-E61A052A708A}" name="road_length_2021" displayName="road_length_2021" ref="A19:F29" totalsRowShown="0" headerRowDxfId="162" dataDxfId="160" headerRowBorderDxfId="161" tableBorderDxfId="159">
  <autoFilter ref="A19:F29" xr:uid="{B27C1AED-6505-40CE-8C81-E61A052A708A}">
    <filterColumn colId="0" hiddenButton="1"/>
    <filterColumn colId="1" hiddenButton="1"/>
    <filterColumn colId="2" hiddenButton="1"/>
    <filterColumn colId="3" hiddenButton="1"/>
    <filterColumn colId="4" hiddenButton="1"/>
    <filterColumn colId="5" hiddenButton="1"/>
  </autoFilter>
  <tableColumns count="6">
    <tableColumn id="1" xr3:uid="{55170918-AF3F-4874-A7F3-67ABD777F9E2}" name="Road Class [note3]" dataDxfId="158"/>
    <tableColumn id="2" xr3:uid="{E5F2D9B7-C2D1-4DB2-8D4C-AF9AEF2BE46A}" name="Carriageway Class" dataDxfId="157"/>
    <tableColumn id="3" xr3:uid="{F4C9DAFA-06EC-4D75-A495-F52A4C65008C}" name="Urban Length_x000a_(Carriageway) " dataDxfId="156"/>
    <tableColumn id="4" xr3:uid="{65583D43-62A1-48AE-9F0F-0B04AE18D0C0}" name="Rural Length_x000a_(Carriageway)" dataDxfId="155"/>
    <tableColumn id="5" xr3:uid="{9185D7BA-B1E8-4357-926B-F14149596920}" name="Total (Carriageway Length) [note4]" dataDxfId="154"/>
    <tableColumn id="6" xr3:uid="{E0EF505A-68F4-423D-9918-4AF669881CDF}" name="Total Route Length [note5]" dataDxfId="15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901D9CB-B969-40EC-97B3-7FA78DAC7DE5}" name="road_length_2022" displayName="road_length_2022" ref="A33:F43" totalsRowShown="0" headerRowDxfId="152" headerRowBorderDxfId="151" tableBorderDxfId="150">
  <autoFilter ref="A33:F43" xr:uid="{6901D9CB-B969-40EC-97B3-7FA78DAC7DE5}">
    <filterColumn colId="0" hiddenButton="1"/>
    <filterColumn colId="1" hiddenButton="1"/>
    <filterColumn colId="2" hiddenButton="1"/>
    <filterColumn colId="3" hiddenButton="1"/>
    <filterColumn colId="4" hiddenButton="1"/>
    <filterColumn colId="5" hiddenButton="1"/>
  </autoFilter>
  <tableColumns count="6">
    <tableColumn id="1" xr3:uid="{8FDA31D2-CAD4-4DFE-88E4-520F68079559}" name="Road Class [note3]" dataDxfId="149"/>
    <tableColumn id="2" xr3:uid="{D3A59C21-EBB2-4C8C-8E95-5FC88881B3C8}" name="Carriageway Class"/>
    <tableColumn id="3" xr3:uid="{3188D5A4-0659-49BF-A9A3-E2ADDB33C53C}" name="Urban Length_x000a_(Carriageway) "/>
    <tableColumn id="4" xr3:uid="{14BDCDE0-A188-4BA4-AD34-07AF63DE8BA9}" name="Rural Length_x000a_(Carriageway)"/>
    <tableColumn id="5" xr3:uid="{CB2F27D8-17B3-4387-8D7C-264C19C702F8}" name="Total (Carriageway Length) [note4]"/>
    <tableColumn id="6" xr3:uid="{4A147F49-AA71-4012-AAAC-3364E59D37D6}" name="Total Route Length [note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C49B7C-6C33-4912-8A1C-B0728ACB18C4}" name="road_length_2023" displayName="road_length_2023" ref="A47:F57" totalsRowShown="0" headerRowDxfId="148" headerRowBorderDxfId="147" tableBorderDxfId="146">
  <autoFilter ref="A47:F57" xr:uid="{16C49B7C-6C33-4912-8A1C-B0728ACB18C4}">
    <filterColumn colId="0" hiddenButton="1"/>
    <filterColumn colId="1" hiddenButton="1"/>
    <filterColumn colId="2" hiddenButton="1"/>
    <filterColumn colId="3" hiddenButton="1"/>
    <filterColumn colId="4" hiddenButton="1"/>
    <filterColumn colId="5" hiddenButton="1"/>
  </autoFilter>
  <tableColumns count="6">
    <tableColumn id="1" xr3:uid="{63172E15-0A58-4A76-BFA1-2C97E583F4D0}" name="Road Class [note3]" dataDxfId="145"/>
    <tableColumn id="2" xr3:uid="{9D8E7078-7301-4F4D-AC4C-4FF18F0AEDD0}" name="Carriageway Class"/>
    <tableColumn id="3" xr3:uid="{737B3B3C-6E9E-4072-B4CE-B138DC505C1A}" name="Urban Length_x000a_(Carriageway) "/>
    <tableColumn id="4" xr3:uid="{7108A38B-9B41-4C40-BFA5-F20A4A0783C4}" name="Rural Length_x000a_(Carriageway)"/>
    <tableColumn id="5" xr3:uid="{53B19767-8D02-4923-BEB8-264DCAD40E4B}" name="Total (Carriageway Length) [note4]"/>
    <tableColumn id="6" xr3:uid="{0A3ADEDA-5B4C-44D6-930B-FD75AC9554D4}" name="Total Route Length [note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E8BF56-914F-4EF5-BB65-C22372F4B5FC}" name="lgd_length_2022" displayName="lgd_length_2022" ref="A45:H61" totalsRowShown="0" headerRowDxfId="144" dataDxfId="142" headerRowBorderDxfId="143" tableBorderDxfId="141">
  <tableColumns count="8">
    <tableColumn id="1" xr3:uid="{CB03FF26-ACD2-47C7-87BB-46E8B7410479}" name="Local Government District/ DfI Roads division" dataDxfId="140"/>
    <tableColumn id="2" xr3:uid="{E9E4C6A0-5D93-4235-8014-8E8D3119F0C4}" name="Motorway [note 4]" dataDxfId="139"/>
    <tableColumn id="3" xr3:uid="{95130B36-2D48-48CF-9473-239169689FB7}" name="A Roads (Dual Carriageway)" dataDxfId="138"/>
    <tableColumn id="4" xr3:uid="{9F990296-33F4-433C-ABE2-4541CD1AA016}" name=" A Roads (Single Carriageway)" dataDxfId="137"/>
    <tableColumn id="5" xr3:uid="{7BA48E30-E2F2-4722-81A4-F1EA1C2D90EE}" name="B Roads" dataDxfId="136"/>
    <tableColumn id="6" xr3:uid="{C41A93F2-5361-4552-BBCB-812E0C0B7CA2}" name="C Roads" dataDxfId="135"/>
    <tableColumn id="7" xr3:uid="{8608F587-CFCC-4803-97C7-00D51A7E54EA}" name="Unclassified" dataDxfId="134"/>
    <tableColumn id="8" xr3:uid="{428AB41B-7E6A-4281-B0DD-49BE988AC9F8}" name="All road types [note5], [note6], [note7]" dataDxfId="13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861C4A-9B19-4DDB-832C-470A5F65DCCC}" name="lgd_length_2023" displayName="lgd_length_2023" ref="A65:H81" totalsRowShown="0" headerRowDxfId="132" dataDxfId="130" headerRowBorderDxfId="131" tableBorderDxfId="129">
  <tableColumns count="8">
    <tableColumn id="1" xr3:uid="{F7F67619-E6D0-4A93-AD0C-ADDDBB507640}" name="Local Government District/ DfI Roads division" dataDxfId="128"/>
    <tableColumn id="2" xr3:uid="{64EECFDB-CC83-4BA4-8CF4-2DA16AE3EC21}" name="Motorway [note 4]" dataDxfId="127"/>
    <tableColumn id="3" xr3:uid="{300DFCF0-89C9-4A10-A56D-A5645F8248E9}" name="A Roads (Dual Carriageway)" dataDxfId="126"/>
    <tableColumn id="4" xr3:uid="{0C8CFD6D-6729-47FE-A15B-31A32300E87F}" name=" A Roads (Single Carriageway)" dataDxfId="125"/>
    <tableColumn id="5" xr3:uid="{CB5ECE32-99DB-47C3-B8D5-29611FD15D6A}" name="B Roads" dataDxfId="124"/>
    <tableColumn id="6" xr3:uid="{347D3511-296D-4AB6-9473-E05A0A59A2A3}" name="C Roads" dataDxfId="123"/>
    <tableColumn id="7" xr3:uid="{230E3F2D-B957-4954-92F0-CE3998954D70}" name="Unclassified" dataDxfId="122"/>
    <tableColumn id="8" xr3:uid="{B64A70AC-5705-4904-AD5C-F77070F61AAA}" name="All road types [note5], [note6], [note7]" dataDxfId="1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6A11CE-596E-4E8F-8C24-F17532B71892}" name="lgd_length_2020" displayName="lgd_length_2020" ref="A5:H21" totalsRowShown="0" headerRowDxfId="120" dataDxfId="118" headerRowBorderDxfId="119" tableBorderDxfId="117">
  <autoFilter ref="A5:H21" xr:uid="{A46A11CE-596E-4E8F-8C24-F17532B7189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113AFC1-2BB3-4D5E-9F67-9F45ACFBDF00}" name="Local Government District/ DfI Roads division" dataDxfId="116"/>
    <tableColumn id="2" xr3:uid="{FD919EE4-C8D1-4CC7-B3BC-F18F846ACB6E}" name="Motorway [note 4]" dataDxfId="115"/>
    <tableColumn id="3" xr3:uid="{A7DF9F05-819C-4D0E-8F27-B853BA88C81E}" name="A Roads (Dual Carriageway)" dataDxfId="114"/>
    <tableColumn id="4" xr3:uid="{B6B521F6-41A5-4F20-8460-88FCD117EA0C}" name=" A Roads (Single Carriageway)" dataDxfId="113"/>
    <tableColumn id="5" xr3:uid="{70D987AD-3F7C-4DC6-AD01-50950933E783}" name="B Roads" dataDxfId="112"/>
    <tableColumn id="6" xr3:uid="{98BB3B01-7302-41C0-B768-15709DAF6274}" name="C Roads" dataDxfId="111"/>
    <tableColumn id="7" xr3:uid="{467F1090-1D80-4F82-8A97-37F22843C638}" name="Unclassified" dataDxfId="110"/>
    <tableColumn id="8" xr3:uid="{D301C7AA-1CED-46B8-BD47-07402CC720A2}" name="All road types [note5], [note6], [note7]" dataDxfId="10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4E6E4D-CD4F-4325-BECE-CFD2BB72942A}" name="lgd_length_2021" displayName="lgd_length_2021" ref="A25:H41" totalsRowShown="0" headerRowDxfId="108" dataDxfId="106" headerRowBorderDxfId="107" tableBorderDxfId="105">
  <autoFilter ref="A25:H41" xr:uid="{8F4E6E4D-CD4F-4325-BECE-CFD2BB72942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98FE41C-333B-473E-819E-D3A7D9695C71}" name="Local Government District/ DfI Roads division" dataDxfId="104"/>
    <tableColumn id="2" xr3:uid="{7934BAAE-0F09-45B0-A50A-E7754980F771}" name="Motorway [note 4]" dataDxfId="103"/>
    <tableColumn id="3" xr3:uid="{193A73D9-5D9A-4314-869E-153A07A0ED93}" name="A Roads (Dual Carriageway)" dataDxfId="102"/>
    <tableColumn id="4" xr3:uid="{E98FACEF-F0FB-4859-AAAC-9182DEC93E92}" name=" A Roads (Single Carriageway)" dataDxfId="101"/>
    <tableColumn id="5" xr3:uid="{9DABE1F3-FFE0-45C5-9725-C9CB520F9616}" name="B Roads" dataDxfId="100"/>
    <tableColumn id="6" xr3:uid="{646AC57E-A0FB-4780-8F6F-4704EC0FC873}" name="C Roads" dataDxfId="99"/>
    <tableColumn id="7" xr3:uid="{AC6EE9F0-1340-41D1-A839-47A0D105A0BA}" name="Unclassified" dataDxfId="98"/>
    <tableColumn id="8" xr3:uid="{DE516411-58A8-40C4-A163-D1212FD2085E}" name="All road types [note5], [note6], [note7]" dataDxfId="9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4356AB-0CC4-4F17-9971-0C179CE10D44}" name="SCANNER" displayName="SCANNER" ref="A4:M7" headerRowCount="0" totalsRowShown="0" headerRowBorderDxfId="96" tableBorderDxfId="95">
  <tableColumns count="13">
    <tableColumn id="1" xr3:uid="{4C9BD8ED-0FB1-49F9-BA1A-5179D436C2D6}" name="Condition" headerRowDxfId="94" dataDxfId="93"/>
    <tableColumn id="2" xr3:uid="{4FEE54B2-D595-441B-9D2A-FA21D07C393E}" name="A" headerRowDxfId="92" dataDxfId="91"/>
    <tableColumn id="3" xr3:uid="{366763F2-DB89-4457-8C11-D6B65D704CA5}" name="B" headerRowDxfId="90" dataDxfId="89"/>
    <tableColumn id="4" xr3:uid="{22845E75-9C7B-4486-A43F-AE8F23C7DDFD}" name="C" headerRowDxfId="88" dataDxfId="87"/>
    <tableColumn id="5" xr3:uid="{7E0C6599-EA3C-4C97-BB39-E664BF520D14}" name="A2" headerRowDxfId="86" dataDxfId="85"/>
    <tableColumn id="6" xr3:uid="{89E7AC1E-280B-418B-A37C-A4D13E5C9609}" name="B3" headerRowDxfId="84" dataDxfId="83"/>
    <tableColumn id="7" xr3:uid="{D549C162-4291-4FC8-BE57-836EE1E29A8E}" name="C4" headerRowDxfId="82" dataDxfId="81"/>
    <tableColumn id="8" xr3:uid="{F3285876-A1E2-4102-8BF6-90BF4E7B009B}" name="A5" headerRowDxfId="80" dataDxfId="79"/>
    <tableColumn id="9" xr3:uid="{997DA01F-3920-4260-9E29-94BE83CA2970}" name="B6" headerRowDxfId="78" dataDxfId="77"/>
    <tableColumn id="10" xr3:uid="{191BE748-5E54-483A-AB48-A2E8EE8BD3A8}" name="C7" headerRowDxfId="76" dataDxfId="75"/>
    <tableColumn id="11" xr3:uid="{964EB426-1CD6-4F13-B00F-63DAD4EFB1E4}" name="A8" headerRowDxfId="74" dataDxfId="73"/>
    <tableColumn id="12" xr3:uid="{40FAB3CB-FCCE-401B-8B46-925F50F48E4F}" name="B9" headerRowDxfId="72" dataDxfId="71"/>
    <tableColumn id="13" xr3:uid="{4C5D77DA-E141-4D66-BD91-F433B2B00F22}" name="C10" headerRowDxfId="70" dataDxfId="69"/>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78C06F-AF7E-4689-8819-1D7E753B0D96}" name="Deflectograph" displayName="Deflectograph" ref="A4:E8" totalsRowShown="0" headerRowDxfId="68" dataDxfId="66" headerRowBorderDxfId="67" tableBorderDxfId="65">
  <autoFilter ref="A4:E8" xr:uid="{6178C06F-AF7E-4689-8819-1D7E753B0D96}">
    <filterColumn colId="0" hiddenButton="1"/>
    <filterColumn colId="1" hiddenButton="1"/>
    <filterColumn colId="2" hiddenButton="1"/>
    <filterColumn colId="3" hiddenButton="1"/>
    <filterColumn colId="4" hiddenButton="1"/>
  </autoFilter>
  <tableColumns count="5">
    <tableColumn id="1" xr3:uid="{79AB3F65-3AA9-4575-BE34-120F8D3384B7}" name="Year" dataDxfId="64"/>
    <tableColumn id="2" xr3:uid="{E6C492C5-0347-4D13-AB6C-EE55F06306BD}" name="Trunk Road Network" dataDxfId="63"/>
    <tableColumn id="3" xr3:uid="{49C5C374-4F05-45A5-9643-2EE3A64A494F}" name="Non - Trunk A roads" dataDxfId="62"/>
    <tableColumn id="4" xr3:uid="{6F526FA4-2E6A-4BA2-99B2-1AE0A08896A5}" name="Motorway" dataDxfId="61"/>
    <tableColumn id="5" xr3:uid="{E01BE390-22BF-4CC5-A1AD-3F220BB72DBC}" name="Combined TRN and Motorway" dataDxfId="60"/>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1A12AD-2CD4-45FF-8927-5110A0816B12}" name="Surface_defects_NI" displayName="Surface_defects_NI" ref="A4:E6" totalsRowShown="0" headerRowDxfId="59" dataDxfId="57" headerRowBorderDxfId="58" tableBorderDxfId="56">
  <autoFilter ref="A4:E6" xr:uid="{1D1A12AD-2CD4-45FF-8927-5110A0816B12}">
    <filterColumn colId="0" hiddenButton="1"/>
    <filterColumn colId="1" hiddenButton="1"/>
    <filterColumn colId="2" hiddenButton="1"/>
    <filterColumn colId="3" hiddenButton="1"/>
    <filterColumn colId="4" hiddenButton="1"/>
  </autoFilter>
  <tableColumns count="5">
    <tableColumn id="1" xr3:uid="{86BE4DE5-93A4-4B8F-87D6-67EDAF42C328}" name="Defects" dataDxfId="55"/>
    <tableColumn id="2" xr3:uid="{093776BB-2261-4421-BA5B-54EF17F48B53}" name="2019-20" dataDxfId="54"/>
    <tableColumn id="3" xr3:uid="{7E62F5F6-2A28-4F4A-B4D0-BA63718438AA}" name="2020-21" dataDxfId="53"/>
    <tableColumn id="4" xr3:uid="{5F3FB2BD-2F8C-4712-976D-B247940FC1C5}" name="2021-22" dataDxfId="52"/>
    <tableColumn id="5" xr3:uid="{7F069A5C-CA01-4870-8457-3CD9F5B1F2FD}" name="2022-23" dataDxfId="51"/>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9DFDF97-E1B5-4CCF-89FE-66FD82D1248D}" name="defects_instructed_lgd" displayName="defects_instructed_lgd" ref="A4:E15" totalsRowShown="0" headerRowDxfId="50" dataDxfId="48" headerRowBorderDxfId="49" tableBorderDxfId="47" headerRowCellStyle="Normal 4" dataCellStyle="Comma">
  <autoFilter ref="A4:E15" xr:uid="{C9DFDF97-E1B5-4CCF-89FE-66FD82D1248D}">
    <filterColumn colId="0" hiddenButton="1"/>
    <filterColumn colId="1" hiddenButton="1"/>
    <filterColumn colId="2" hiddenButton="1"/>
    <filterColumn colId="3" hiddenButton="1"/>
    <filterColumn colId="4" hiddenButton="1"/>
  </autoFilter>
  <tableColumns count="5">
    <tableColumn id="1" xr3:uid="{618BBC8F-237B-45BB-A3FC-53980FA668F1}" name="Local Government District" dataDxfId="46" dataCellStyle="Normal 4"/>
    <tableColumn id="2" xr3:uid="{C6D1DE36-9DA8-46E2-B088-4109783CB164}" name="2019-20" dataDxfId="45" dataCellStyle="Comma"/>
    <tableColumn id="3" xr3:uid="{917999A6-8F0F-411D-8F35-8C85A07E17AA}" name="2020-21" dataDxfId="44" dataCellStyle="Comma"/>
    <tableColumn id="4" xr3:uid="{766DE12B-0E4B-4E1D-A595-768DDCDFBCA6}" name="2021-22" dataDxfId="43" dataCellStyle="Comma"/>
    <tableColumn id="5" xr3:uid="{E70DA22D-A6DA-43CF-A29D-B35FE5955E35}" name="2022-23" dataDxfId="42" dataCellStyle="Comma"/>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341DB2-FCDA-4916-AACD-A9E2392A222F}" name="defects_repaired_lgd" displayName="defects_repaired_lgd" ref="A4:E15" totalsRowShown="0" headerRowDxfId="41" dataDxfId="39" headerRowBorderDxfId="40" tableBorderDxfId="38" headerRowCellStyle="Normal 3" dataCellStyle="Comma">
  <autoFilter ref="A4:E15" xr:uid="{43341DB2-FCDA-4916-AACD-A9E2392A222F}">
    <filterColumn colId="0" hiddenButton="1"/>
    <filterColumn colId="1" hiddenButton="1"/>
    <filterColumn colId="2" hiddenButton="1"/>
    <filterColumn colId="3" hiddenButton="1"/>
    <filterColumn colId="4" hiddenButton="1"/>
  </autoFilter>
  <tableColumns count="5">
    <tableColumn id="1" xr3:uid="{EB34996F-9D9F-4139-A745-354F4B406AAD}" name="Local Government District" dataDxfId="37" dataCellStyle="Normal 3"/>
    <tableColumn id="2" xr3:uid="{02B5E86D-0B87-4573-9870-75558A8F1568}" name="2019-20" dataDxfId="36" dataCellStyle="Comma"/>
    <tableColumn id="3" xr3:uid="{809ECEA8-7B92-40DF-9A3B-E8547598E780}" name="2020-21" dataDxfId="35" dataCellStyle="Comma"/>
    <tableColumn id="4" xr3:uid="{DC6864D2-ECF7-4452-BC6C-D7534D03D156}" name="2021-22" dataDxfId="34" dataCellStyle="Comma"/>
    <tableColumn id="5" xr3:uid="{16636E78-A001-40A9-8FBB-BE2B724A0C6D}" name="2022-23" dataDxfId="33" dataCellStyle="Comma"/>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2D26B10-E7FF-4946-8CFB-17E416FA2376}" name="expenditure" displayName="expenditure" ref="A4:E15" totalsRowShown="0" headerRowDxfId="32" dataDxfId="30" headerRowBorderDxfId="31" tableBorderDxfId="29" dataCellStyle="Normal 2 2">
  <autoFilter ref="A4:E15" xr:uid="{82D26B10-E7FF-4946-8CFB-17E416FA2376}">
    <filterColumn colId="0" hiddenButton="1"/>
    <filterColumn colId="1" hiddenButton="1"/>
    <filterColumn colId="2" hiddenButton="1"/>
    <filterColumn colId="3" hiddenButton="1"/>
    <filterColumn colId="4" hiddenButton="1"/>
  </autoFilter>
  <tableColumns count="5">
    <tableColumn id="1" xr3:uid="{4339C850-749F-41D3-8FB5-DD2F8C7F908F}" name="Description" dataDxfId="28" dataCellStyle="Normal 2 2"/>
    <tableColumn id="2" xr3:uid="{334E96ED-E24C-408D-AAC2-7E7BF5721EBC}" name="2019-20" dataDxfId="27" dataCellStyle="Normal 2 2"/>
    <tableColumn id="3" xr3:uid="{28499E18-1BA1-43EC-9A88-1E2473912C02}" name="2020-21" dataDxfId="26" dataCellStyle="Normal 2 2"/>
    <tableColumn id="4" xr3:uid="{6D1888F3-1B39-4AE9-8E42-01B0BCA87098}" name="2021-22" dataDxfId="25" dataCellStyle="Normal 2 2"/>
    <tableColumn id="5" xr3:uid="{4AB5A107-AD54-4953-B406-66B82747B227}" name="2022-23" dataDxfId="24" dataCellStyle="Normal 2 2"/>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5:B13" totalsRowShown="0" headerRowDxfId="23" dataDxfId="21" headerRowBorderDxfId="22" tableBorderDxfId="20">
  <autoFilter ref="A5:B13" xr:uid="{00000000-0009-0000-0100-000018000000}">
    <filterColumn colId="0" hiddenButton="1"/>
    <filterColumn colId="1" hiddenButton="1"/>
  </autoFilter>
  <tableColumns count="2">
    <tableColumn id="1" xr3:uid="{00000000-0010-0000-1500-000001000000}" name="Note " dataDxfId="19"/>
    <tableColumn id="2" xr3:uid="{00000000-0010-0000-1500-000002000000}" name="Description" dataDxfId="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42932" displayName="Table242932" ref="A27:B33" totalsRowShown="0" headerRowDxfId="17" dataDxfId="15" headerRowBorderDxfId="16" tableBorderDxfId="14">
  <autoFilter ref="A27:B33" xr:uid="{00000000-0009-0000-0100-00001F000000}">
    <filterColumn colId="0" hiddenButton="1"/>
    <filterColumn colId="1" hiddenButton="1"/>
  </autoFilter>
  <tableColumns count="2">
    <tableColumn id="1" xr3:uid="{00000000-0010-0000-1900-000001000000}" name="Term" dataDxfId="13"/>
    <tableColumn id="2" xr3:uid="{00000000-0010-0000-1900-000002000000}" name="Description" dataDxfId="1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Table24293234" displayName="Table24293234" ref="A37:B41" totalsRowShown="0" headerRowDxfId="11" dataDxfId="9" headerRowBorderDxfId="10" tableBorderDxfId="8">
  <autoFilter ref="A37:B41" xr:uid="{00000000-0009-0000-0100-000021000000}">
    <filterColumn colId="0" hiddenButton="1"/>
    <filterColumn colId="1" hiddenButton="1"/>
  </autoFilter>
  <tableColumns count="2">
    <tableColumn id="1" xr3:uid="{00000000-0010-0000-1A00-000001000000}" name="Term" dataDxfId="7"/>
    <tableColumn id="2" xr3:uid="{00000000-0010-0000-1A00-000002000000}" name="Definition" dataDxfId="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91C918-C5D7-4817-A495-FA4BA62A0F7B}" name="Table242932345" displayName="Table242932345" ref="A45:B55" totalsRowShown="0" headerRowDxfId="5" dataDxfId="3" headerRowBorderDxfId="4" tableBorderDxfId="2">
  <autoFilter ref="A45:B55" xr:uid="{DD91C918-C5D7-4817-A495-FA4BA62A0F7B}">
    <filterColumn colId="0" hiddenButton="1"/>
    <filterColumn colId="1" hiddenButton="1"/>
  </autoFilter>
  <tableColumns count="2">
    <tableColumn id="1" xr3:uid="{8BEE3B08-4089-40C9-AB3A-317408862CF4}" name="Term" dataDxfId="1"/>
    <tableColumn id="2" xr3:uid="{D4A325FB-4906-4FDA-BAFD-07F2956D0106}" name="Defini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Northern%20Ireland%20Road%20Network%20and%20Condition%20Statistics%202022-23%20|%20Department%20for%20Infrastructure%20(infrastructure-ni.gov.u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Northern%20Ireland%20Road%20Network%20and%20Condition%20Statistics%202022-23%20|%20Department%20for%20Infrastructure%20(infrastructure-ni.gov.uk)" TargetMode="External"/><Relationship Id="rId1" Type="http://schemas.openxmlformats.org/officeDocument/2006/relationships/hyperlink" Target="Northern%20Ireland%20Road%20Network%20and%20Condition%20Statistics%202022-23%20|%20Department%20for%20Infrastructure%20(infrastructure-ni.gov.u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9.bin"/><Relationship Id="rId5" Type="http://schemas.openxmlformats.org/officeDocument/2006/relationships/table" Target="../tables/table18.xm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5"/>
  <sheetViews>
    <sheetView tabSelected="1" workbookViewId="0"/>
  </sheetViews>
  <sheetFormatPr defaultColWidth="9.1796875" defaultRowHeight="14.5"/>
  <cols>
    <col min="1" max="1" width="124.54296875" style="14" customWidth="1"/>
    <col min="2" max="16384" width="9.1796875" style="14"/>
  </cols>
  <sheetData>
    <row r="1" spans="1:4" s="17" customFormat="1" ht="123">
      <c r="A1" s="20" t="s">
        <v>34</v>
      </c>
      <c r="B1" s="15"/>
      <c r="C1" s="16"/>
      <c r="D1" s="16"/>
    </row>
    <row r="2" spans="1:4" s="17" customFormat="1">
      <c r="A2" s="18"/>
    </row>
    <row r="3" spans="1:4" s="17" customFormat="1"/>
    <row r="4" spans="1:4" s="17" customFormat="1">
      <c r="A4" s="19"/>
    </row>
    <row r="5" spans="1:4" s="17" customFormat="1">
      <c r="A5" s="19"/>
    </row>
    <row r="6" spans="1:4" s="17" customFormat="1">
      <c r="A6" s="18"/>
    </row>
    <row r="7" spans="1:4" s="17" customFormat="1">
      <c r="A7" s="18"/>
    </row>
    <row r="8" spans="1:4" s="17" customFormat="1">
      <c r="A8" s="18"/>
    </row>
    <row r="9" spans="1:4" s="17" customFormat="1">
      <c r="A9" s="18"/>
    </row>
    <row r="10" spans="1:4" s="17" customFormat="1">
      <c r="A10" s="18"/>
    </row>
    <row r="11" spans="1:4" s="17" customFormat="1">
      <c r="A11" s="18"/>
    </row>
    <row r="12" spans="1:4" s="17" customFormat="1">
      <c r="A12" s="18"/>
    </row>
    <row r="13" spans="1:4" s="17" customFormat="1">
      <c r="A13" s="18"/>
    </row>
    <row r="14" spans="1:4" s="17" customFormat="1">
      <c r="A14" s="18"/>
    </row>
    <row r="15" spans="1:4" s="17" customFormat="1">
      <c r="A15" s="1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33"/>
  <sheetViews>
    <sheetView workbookViewId="0"/>
  </sheetViews>
  <sheetFormatPr defaultColWidth="9.1796875" defaultRowHeight="15.5"/>
  <cols>
    <col min="1" max="1" width="125" style="22" bestFit="1" customWidth="1"/>
    <col min="2" max="16384" width="9.1796875" style="22"/>
  </cols>
  <sheetData>
    <row r="1" spans="1:9" ht="15" customHeight="1">
      <c r="A1" s="47" t="s">
        <v>1</v>
      </c>
    </row>
    <row r="2" spans="1:9" ht="15" customHeight="1"/>
    <row r="3" spans="1:9" ht="15.75" customHeight="1">
      <c r="A3" s="48" t="s">
        <v>2</v>
      </c>
    </row>
    <row r="4" spans="1:9" ht="15" customHeight="1">
      <c r="A4" s="48"/>
    </row>
    <row r="5" spans="1:9" ht="15.75" customHeight="1">
      <c r="A5" s="51"/>
    </row>
    <row r="6" spans="1:9" ht="15.75" customHeight="1">
      <c r="A6" s="48" t="s">
        <v>160</v>
      </c>
    </row>
    <row r="7" spans="1:9" ht="15.75" customHeight="1">
      <c r="A7" s="48" t="s">
        <v>162</v>
      </c>
    </row>
    <row r="8" spans="1:9" ht="15.75" customHeight="1">
      <c r="A8" s="70" t="s">
        <v>163</v>
      </c>
    </row>
    <row r="9" spans="1:9" ht="15.75" customHeight="1">
      <c r="A9" s="70" t="s">
        <v>135</v>
      </c>
    </row>
    <row r="10" spans="1:9" ht="15.75" customHeight="1">
      <c r="A10" s="70" t="s">
        <v>164</v>
      </c>
    </row>
    <row r="11" spans="1:9" ht="15.75" customHeight="1">
      <c r="A11" s="70" t="s">
        <v>165</v>
      </c>
    </row>
    <row r="12" spans="1:9" ht="15.75" customHeight="1">
      <c r="A12" s="167" t="s">
        <v>134</v>
      </c>
    </row>
    <row r="13" spans="1:9" ht="15.75" customHeight="1">
      <c r="A13" s="70" t="s">
        <v>166</v>
      </c>
    </row>
    <row r="14" spans="1:9" ht="15.75" customHeight="1">
      <c r="A14" s="70" t="s">
        <v>167</v>
      </c>
    </row>
    <row r="15" spans="1:9" ht="15.75" customHeight="1">
      <c r="A15" s="70" t="s">
        <v>161</v>
      </c>
    </row>
    <row r="16" spans="1:9" s="76" customFormat="1" ht="15.75" customHeight="1">
      <c r="A16" s="48"/>
      <c r="B16" s="35"/>
      <c r="C16" s="35"/>
      <c r="D16" s="35"/>
      <c r="E16" s="35"/>
      <c r="F16" s="35"/>
      <c r="G16" s="35"/>
      <c r="H16" s="35"/>
      <c r="I16" s="35"/>
    </row>
    <row r="17" spans="1:7" s="76" customFormat="1" ht="15.75" customHeight="1">
      <c r="A17" s="51" t="s">
        <v>23</v>
      </c>
      <c r="B17" s="35"/>
      <c r="C17" s="35"/>
      <c r="D17" s="35"/>
      <c r="E17" s="35"/>
      <c r="F17" s="35"/>
      <c r="G17" s="35"/>
    </row>
    <row r="18" spans="1:7" ht="15.75" customHeight="1">
      <c r="A18" s="48" t="s">
        <v>23</v>
      </c>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sheetData>
  <hyperlinks>
    <hyperlink ref="A3" location="'Introductory Notes'!A1" display="Introductory Notes" xr:uid="{00000000-0004-0000-0100-000012000000}"/>
    <hyperlink ref="A18" location="'Notes and Definitions'!A1" display="Notes and Definitions" xr:uid="{00000000-0004-0000-0100-000013000000}"/>
    <hyperlink ref="A7" location="'Fig2'!A1" display="Figure 2 Monthly Public Tranport Passenger Journeys: April 2019 to March 2023" xr:uid="{00000000-0004-0000-0100-000010000000}"/>
    <hyperlink ref="A8" location="'Fig3'!A1" display="Figure 3 Bus Passenger Journeys: 2019-20 to 2022-23" xr:uid="{60E4C745-309D-4BC1-AAE0-0CE65E4052C5}"/>
    <hyperlink ref="A10" location="'Fig5'!A1" display="Figure 5 Public Transport Passenger Miles - rail: 2019-20 to 2022-23" xr:uid="{976D7FDA-B1FD-4AA6-8978-8887A0ED5DFA}"/>
    <hyperlink ref="A11" location="'Fig6'!A1" display="Figure 6 Passenger Journeys by paying / non- paying passengers: 2019-20 to 2022-23" xr:uid="{517F02E9-8165-4F25-921F-F91552CD62CE}"/>
    <hyperlink ref="A14" location="'Fig9'!A1" display="Figure 9 Public Tranport Vehicles: 2019-20 to 2022-23" xr:uid="{6E1D50B0-C973-4558-8E38-9579D9C313D1}"/>
    <hyperlink ref="A15" location="'Fig10'!A1" display="Figure 10: Public Transport Operating Miles 2019-20 to 2022-23 (millions)" xr:uid="{E634CE49-6D1F-4D88-9066-182DDE68E235}"/>
    <hyperlink ref="A6" location="'Fig1'!A1" display="Figure 1 Public Transport Passenger Journeys: 2019-20 to 2022-23" xr:uid="{EED11294-4955-4BAB-B182-C3C1B3F09BC1}"/>
    <hyperlink ref="A9" r:id="rId1" display="Figure 4: Data representing figure 4 can be found in scanner lgd tables and figures document on website " xr:uid="{F4871680-6ED1-4D39-9312-709A38200DA6}"/>
    <hyperlink ref="A13" location="'Fig8'!A1" display="Figure 8 Passenger Journeys by smart / non-smart methods: 2019-20 to 2022-23" xr:uid="{5D02B9EF-2AD2-4321-91BF-96686141133E}"/>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31"/>
  <sheetViews>
    <sheetView workbookViewId="0"/>
  </sheetViews>
  <sheetFormatPr defaultColWidth="9.1796875" defaultRowHeight="15.5"/>
  <cols>
    <col min="1" max="1" width="130" style="52" customWidth="1"/>
    <col min="2" max="2" width="7.1796875" style="40" customWidth="1"/>
    <col min="3" max="10" width="9.1796875" style="52" customWidth="1"/>
    <col min="11" max="16384" width="9.1796875" style="52"/>
  </cols>
  <sheetData>
    <row r="1" spans="1:2">
      <c r="A1" s="74" t="s">
        <v>2</v>
      </c>
    </row>
    <row r="3" spans="1:2">
      <c r="A3" s="53" t="s">
        <v>3</v>
      </c>
      <c r="B3" s="42"/>
    </row>
    <row r="4" spans="1:2">
      <c r="A4" s="54" t="s">
        <v>121</v>
      </c>
    </row>
    <row r="5" spans="1:2">
      <c r="A5" s="55"/>
    </row>
    <row r="6" spans="1:2">
      <c r="A6" s="53" t="s">
        <v>4</v>
      </c>
      <c r="B6" s="36"/>
    </row>
    <row r="7" spans="1:2">
      <c r="A7" s="56" t="s">
        <v>5</v>
      </c>
      <c r="B7" s="41"/>
    </row>
    <row r="8" spans="1:2" ht="16.5" customHeight="1">
      <c r="A8" s="73" t="s">
        <v>6</v>
      </c>
    </row>
    <row r="9" spans="1:2">
      <c r="A9" s="55"/>
    </row>
    <row r="10" spans="1:2">
      <c r="A10" s="53" t="s">
        <v>7</v>
      </c>
      <c r="B10" s="36"/>
    </row>
    <row r="11" spans="1:2">
      <c r="A11" s="55" t="s">
        <v>8</v>
      </c>
    </row>
    <row r="12" spans="1:2">
      <c r="A12" s="55"/>
    </row>
    <row r="13" spans="1:2">
      <c r="A13" s="53" t="s">
        <v>21</v>
      </c>
    </row>
    <row r="14" spans="1:2">
      <c r="A14" s="161" t="s">
        <v>94</v>
      </c>
    </row>
    <row r="15" spans="1:2">
      <c r="A15" s="163" t="s">
        <v>125</v>
      </c>
    </row>
    <row r="16" spans="1:2">
      <c r="A16" s="162"/>
    </row>
    <row r="17" spans="1:2">
      <c r="A17" s="53" t="s">
        <v>9</v>
      </c>
      <c r="B17" s="36"/>
    </row>
    <row r="18" spans="1:2">
      <c r="A18" s="55" t="s">
        <v>10</v>
      </c>
    </row>
    <row r="19" spans="1:2">
      <c r="A19" s="55"/>
    </row>
    <row r="20" spans="1:2">
      <c r="A20" s="55" t="s">
        <v>11</v>
      </c>
    </row>
    <row r="21" spans="1:2">
      <c r="A21" s="55" t="s">
        <v>12</v>
      </c>
    </row>
    <row r="22" spans="1:2">
      <c r="A22" s="55" t="s">
        <v>13</v>
      </c>
    </row>
    <row r="23" spans="1:2">
      <c r="A23" s="55" t="s">
        <v>14</v>
      </c>
    </row>
    <row r="24" spans="1:2">
      <c r="A24" s="55" t="s">
        <v>15</v>
      </c>
    </row>
    <row r="25" spans="1:2">
      <c r="A25" s="55" t="s">
        <v>16</v>
      </c>
    </row>
    <row r="26" spans="1:2">
      <c r="A26" s="55"/>
    </row>
    <row r="27" spans="1:2">
      <c r="A27" s="55"/>
    </row>
    <row r="28" spans="1:2">
      <c r="A28" s="55" t="s">
        <v>17</v>
      </c>
    </row>
    <row r="29" spans="1:2">
      <c r="A29" s="160" t="s">
        <v>124</v>
      </c>
    </row>
    <row r="31" spans="1:2">
      <c r="A31" s="23" t="s">
        <v>18</v>
      </c>
    </row>
  </sheetData>
  <hyperlinks>
    <hyperlink ref="A31" location="Index!A1" display="Return to Index" xr:uid="{00000000-0004-0000-0200-000000000000}"/>
    <hyperlink ref="A29" r:id="rId1" xr:uid="{80BD4FFD-B549-43B8-8F3E-A90FB42AA4ED}"/>
    <hyperlink ref="A15" r:id="rId2" xr:uid="{1F920DA5-4AF0-4921-86B6-0BF9480239B1}"/>
  </hyperlinks>
  <pageMargins left="0.7" right="0.7" top="0.75" bottom="0.75" header="0.3" footer="0.3"/>
  <pageSetup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58"/>
  <sheetViews>
    <sheetView zoomScaleNormal="100" workbookViewId="0"/>
  </sheetViews>
  <sheetFormatPr defaultColWidth="10.81640625" defaultRowHeight="14.5"/>
  <cols>
    <col min="1" max="1" width="31.453125" style="101" customWidth="1"/>
    <col min="2" max="2" width="19.26953125" style="2" customWidth="1"/>
    <col min="3" max="3" width="15.81640625" style="2" customWidth="1"/>
    <col min="4" max="4" width="14.81640625" style="2" customWidth="1"/>
    <col min="5" max="5" width="20.54296875" style="2" customWidth="1"/>
    <col min="6" max="6" width="28.1796875" style="2" customWidth="1"/>
    <col min="7" max="8" width="9.54296875" style="2" bestFit="1" customWidth="1"/>
    <col min="9" max="16384" width="10.81640625" style="2"/>
  </cols>
  <sheetData>
    <row r="1" spans="1:6" ht="15.5">
      <c r="A1" s="49" t="s">
        <v>159</v>
      </c>
      <c r="B1" s="21"/>
      <c r="C1" s="21"/>
      <c r="D1" s="21"/>
      <c r="E1" s="21"/>
      <c r="F1" s="21"/>
    </row>
    <row r="2" spans="1:6" ht="15.5">
      <c r="A2" s="99" t="s">
        <v>27</v>
      </c>
      <c r="B2" s="61"/>
      <c r="C2" s="61"/>
      <c r="D2" s="61"/>
    </row>
    <row r="3" spans="1:6" ht="15.5">
      <c r="A3" s="67"/>
      <c r="B3" s="22"/>
      <c r="C3" s="22"/>
      <c r="D3" s="22"/>
      <c r="E3" s="90"/>
      <c r="F3" s="90"/>
    </row>
    <row r="4" spans="1:6" ht="16" thickBot="1">
      <c r="A4" s="68">
        <v>2020</v>
      </c>
      <c r="B4" s="171"/>
      <c r="C4" s="171"/>
      <c r="D4" s="171"/>
      <c r="E4" s="171"/>
      <c r="F4" s="172" t="s">
        <v>51</v>
      </c>
    </row>
    <row r="5" spans="1:6" ht="31.5" thickBot="1">
      <c r="A5" s="64" t="s">
        <v>50</v>
      </c>
      <c r="B5" s="64" t="s">
        <v>49</v>
      </c>
      <c r="C5" s="64" t="s">
        <v>48</v>
      </c>
      <c r="D5" s="64" t="s">
        <v>47</v>
      </c>
      <c r="E5" s="83" t="s">
        <v>46</v>
      </c>
      <c r="F5" s="83" t="s">
        <v>45</v>
      </c>
    </row>
    <row r="6" spans="1:6" ht="15.5">
      <c r="A6" s="66" t="s">
        <v>44</v>
      </c>
      <c r="B6" s="93" t="s">
        <v>43</v>
      </c>
      <c r="C6" s="156">
        <v>36.99</v>
      </c>
      <c r="D6" s="156">
        <v>192.61199999999999</v>
      </c>
      <c r="E6" s="156">
        <v>229.602</v>
      </c>
      <c r="F6" s="92">
        <v>114.801</v>
      </c>
    </row>
    <row r="7" spans="1:6" ht="15.5">
      <c r="A7" s="66" t="s">
        <v>42</v>
      </c>
      <c r="B7" s="87" t="s">
        <v>39</v>
      </c>
      <c r="C7" s="92">
        <v>128.96</v>
      </c>
      <c r="D7" s="92">
        <v>336.36</v>
      </c>
      <c r="E7" s="92">
        <v>465.32</v>
      </c>
      <c r="F7" s="92">
        <v>232.66</v>
      </c>
    </row>
    <row r="8" spans="1:6" ht="15.5">
      <c r="A8" s="66" t="s">
        <v>42</v>
      </c>
      <c r="B8" s="85" t="s">
        <v>37</v>
      </c>
      <c r="C8" s="157">
        <v>506.58</v>
      </c>
      <c r="D8" s="157">
        <v>1559.71</v>
      </c>
      <c r="E8" s="157">
        <v>2066.2919999999999</v>
      </c>
      <c r="F8" s="157">
        <v>2066.2919999999999</v>
      </c>
    </row>
    <row r="9" spans="1:6" ht="15.5">
      <c r="A9" s="66" t="s">
        <v>41</v>
      </c>
      <c r="B9" s="87" t="s">
        <v>39</v>
      </c>
      <c r="C9" s="92">
        <v>2.4540000000000002</v>
      </c>
      <c r="D9" s="92">
        <v>1.2190000000000001</v>
      </c>
      <c r="E9" s="92">
        <v>3.673</v>
      </c>
      <c r="F9" s="92">
        <v>1.837</v>
      </c>
    </row>
    <row r="10" spans="1:6" ht="15.5">
      <c r="A10" s="66" t="s">
        <v>41</v>
      </c>
      <c r="B10" s="85" t="s">
        <v>37</v>
      </c>
      <c r="C10" s="157">
        <v>389.54599999999999</v>
      </c>
      <c r="D10" s="157">
        <v>2520.9870000000001</v>
      </c>
      <c r="E10" s="157">
        <v>2910.5329999999999</v>
      </c>
      <c r="F10" s="157">
        <v>2910.5329999999999</v>
      </c>
    </row>
    <row r="11" spans="1:6" ht="15.5">
      <c r="A11" s="87" t="s">
        <v>40</v>
      </c>
      <c r="B11" s="87" t="s">
        <v>39</v>
      </c>
      <c r="C11" s="92">
        <v>2.2629999999999999</v>
      </c>
      <c r="D11" s="92">
        <v>0</v>
      </c>
      <c r="E11" s="92">
        <v>2.2629999999999999</v>
      </c>
      <c r="F11" s="92">
        <v>1.1315</v>
      </c>
    </row>
    <row r="12" spans="1:6" ht="15.5">
      <c r="A12" s="87" t="s">
        <v>40</v>
      </c>
      <c r="B12" s="85" t="s">
        <v>37</v>
      </c>
      <c r="C12" s="157">
        <v>289.67</v>
      </c>
      <c r="D12" s="157">
        <v>4436.1880000000001</v>
      </c>
      <c r="E12" s="157">
        <v>4725.8580000000002</v>
      </c>
      <c r="F12" s="157">
        <v>4725.8580000000002</v>
      </c>
    </row>
    <row r="13" spans="1:6" ht="15.5">
      <c r="A13" s="87" t="s">
        <v>38</v>
      </c>
      <c r="B13" s="87" t="s">
        <v>39</v>
      </c>
      <c r="C13" s="92">
        <v>1.8959999999999999</v>
      </c>
      <c r="D13" s="92">
        <v>0</v>
      </c>
      <c r="E13" s="92">
        <v>1.8959999999999999</v>
      </c>
      <c r="F13" s="92">
        <v>0.94799999999999995</v>
      </c>
    </row>
    <row r="14" spans="1:6" ht="15.5">
      <c r="A14" s="67" t="s">
        <v>38</v>
      </c>
      <c r="B14" s="85" t="s">
        <v>37</v>
      </c>
      <c r="C14" s="157">
        <v>4561.95</v>
      </c>
      <c r="D14" s="157">
        <v>11153.598</v>
      </c>
      <c r="E14" s="157">
        <v>15715.548000000001</v>
      </c>
      <c r="F14" s="157">
        <v>15715.548000000001</v>
      </c>
    </row>
    <row r="15" spans="1:6" ht="15.5">
      <c r="A15" s="94" t="s">
        <v>36</v>
      </c>
      <c r="B15" s="173"/>
      <c r="C15" s="114">
        <v>5920.3089999999993</v>
      </c>
      <c r="D15" s="114">
        <v>20200.673999999999</v>
      </c>
      <c r="E15" s="114">
        <v>26120.985000000001</v>
      </c>
      <c r="F15" s="114">
        <v>25769.608500000002</v>
      </c>
    </row>
    <row r="16" spans="1:6">
      <c r="A16" s="100"/>
      <c r="B16" s="32"/>
      <c r="C16" s="32"/>
      <c r="D16" s="32"/>
      <c r="E16" s="90"/>
      <c r="F16" s="84" t="s">
        <v>35</v>
      </c>
    </row>
    <row r="17" spans="1:6">
      <c r="A17" s="44"/>
      <c r="B17" s="21"/>
      <c r="C17" s="21"/>
      <c r="D17" s="21"/>
      <c r="E17" s="21"/>
      <c r="F17" s="21"/>
    </row>
    <row r="18" spans="1:6" ht="16" thickBot="1">
      <c r="A18" s="68">
        <v>2021</v>
      </c>
      <c r="B18" s="21"/>
      <c r="C18" s="21"/>
      <c r="D18" s="21"/>
      <c r="E18" s="21"/>
      <c r="F18" s="172" t="s">
        <v>51</v>
      </c>
    </row>
    <row r="19" spans="1:6" ht="31.5" thickBot="1">
      <c r="A19" s="64" t="s">
        <v>50</v>
      </c>
      <c r="B19" s="64" t="s">
        <v>49</v>
      </c>
      <c r="C19" s="64" t="s">
        <v>48</v>
      </c>
      <c r="D19" s="64" t="s">
        <v>47</v>
      </c>
      <c r="E19" s="64" t="s">
        <v>46</v>
      </c>
      <c r="F19" s="83" t="s">
        <v>45</v>
      </c>
    </row>
    <row r="20" spans="1:6" ht="15.5">
      <c r="A20" s="66" t="s">
        <v>44</v>
      </c>
      <c r="B20" s="87" t="s">
        <v>43</v>
      </c>
      <c r="C20" s="92">
        <v>37</v>
      </c>
      <c r="D20" s="92">
        <v>192.6</v>
      </c>
      <c r="E20" s="92">
        <v>229.6</v>
      </c>
      <c r="F20" s="92">
        <v>114.8</v>
      </c>
    </row>
    <row r="21" spans="1:6" ht="15.5">
      <c r="A21" s="66" t="s">
        <v>42</v>
      </c>
      <c r="B21" s="87" t="s">
        <v>39</v>
      </c>
      <c r="C21" s="92">
        <v>129</v>
      </c>
      <c r="D21" s="92">
        <v>336.4</v>
      </c>
      <c r="E21" s="92">
        <v>465.4</v>
      </c>
      <c r="F21" s="92">
        <v>232.7</v>
      </c>
    </row>
    <row r="22" spans="1:6" ht="15.5">
      <c r="A22" s="66" t="s">
        <v>42</v>
      </c>
      <c r="B22" s="87" t="s">
        <v>37</v>
      </c>
      <c r="C22" s="92">
        <v>506.1</v>
      </c>
      <c r="D22" s="92">
        <v>1559.7</v>
      </c>
      <c r="E22" s="92">
        <v>2065.8000000000002</v>
      </c>
      <c r="F22" s="92">
        <v>2065.8000000000002</v>
      </c>
    </row>
    <row r="23" spans="1:6" ht="15.5">
      <c r="A23" s="66" t="s">
        <v>41</v>
      </c>
      <c r="B23" s="87" t="s">
        <v>39</v>
      </c>
      <c r="C23" s="92">
        <v>2.5</v>
      </c>
      <c r="D23" s="92">
        <v>1.2</v>
      </c>
      <c r="E23" s="92">
        <v>3.7</v>
      </c>
      <c r="F23" s="92">
        <v>1.8</v>
      </c>
    </row>
    <row r="24" spans="1:6" ht="15.5">
      <c r="A24" s="66" t="s">
        <v>41</v>
      </c>
      <c r="B24" s="87" t="s">
        <v>37</v>
      </c>
      <c r="C24" s="92">
        <v>379</v>
      </c>
      <c r="D24" s="92">
        <v>2531.6999999999998</v>
      </c>
      <c r="E24" s="92">
        <v>2910.8</v>
      </c>
      <c r="F24" s="92">
        <v>2910.8</v>
      </c>
    </row>
    <row r="25" spans="1:6" ht="15.5">
      <c r="A25" s="87" t="s">
        <v>40</v>
      </c>
      <c r="B25" s="87" t="s">
        <v>39</v>
      </c>
      <c r="C25" s="92">
        <v>2.2999999999999998</v>
      </c>
      <c r="D25" s="92">
        <v>0</v>
      </c>
      <c r="E25" s="92">
        <v>2.2999999999999998</v>
      </c>
      <c r="F25" s="92">
        <v>1.1000000000000001</v>
      </c>
    </row>
    <row r="26" spans="1:6" ht="15.5">
      <c r="A26" s="87" t="s">
        <v>40</v>
      </c>
      <c r="B26" s="87" t="s">
        <v>37</v>
      </c>
      <c r="C26" s="92">
        <v>302.2</v>
      </c>
      <c r="D26" s="92">
        <v>4422.8999999999996</v>
      </c>
      <c r="E26" s="92">
        <v>4725.1000000000004</v>
      </c>
      <c r="F26" s="92">
        <v>4725.1000000000004</v>
      </c>
    </row>
    <row r="27" spans="1:6" ht="15.5">
      <c r="A27" s="87" t="s">
        <v>38</v>
      </c>
      <c r="B27" s="87" t="s">
        <v>39</v>
      </c>
      <c r="C27" s="92">
        <v>1.9</v>
      </c>
      <c r="D27" s="92">
        <v>0</v>
      </c>
      <c r="E27" s="92">
        <v>1.9</v>
      </c>
      <c r="F27" s="92">
        <v>0.9</v>
      </c>
    </row>
    <row r="28" spans="1:6" ht="15.5">
      <c r="A28" s="67" t="s">
        <v>38</v>
      </c>
      <c r="B28" s="87" t="s">
        <v>37</v>
      </c>
      <c r="C28" s="92">
        <v>4578.1000000000004</v>
      </c>
      <c r="D28" s="92">
        <v>11161.2</v>
      </c>
      <c r="E28" s="92">
        <v>15739.3</v>
      </c>
      <c r="F28" s="92">
        <v>15739.3</v>
      </c>
    </row>
    <row r="29" spans="1:6" ht="15.5">
      <c r="A29" s="94" t="s">
        <v>36</v>
      </c>
      <c r="B29" s="87"/>
      <c r="C29" s="109">
        <v>5938.0150000000003</v>
      </c>
      <c r="D29" s="109">
        <v>20205.699999999997</v>
      </c>
      <c r="E29" s="109">
        <v>26143.715000000004</v>
      </c>
      <c r="F29" s="109">
        <v>25792.311000000002</v>
      </c>
    </row>
    <row r="30" spans="1:6">
      <c r="A30" s="100"/>
      <c r="B30" s="32"/>
      <c r="C30" s="32"/>
      <c r="D30" s="32"/>
      <c r="E30" s="90"/>
      <c r="F30" s="84" t="s">
        <v>35</v>
      </c>
    </row>
    <row r="31" spans="1:6">
      <c r="A31" s="44"/>
      <c r="B31" s="21"/>
      <c r="C31" s="21"/>
      <c r="D31" s="21"/>
      <c r="E31" s="21"/>
      <c r="F31" s="21"/>
    </row>
    <row r="32" spans="1:6" ht="15.5">
      <c r="A32" s="68">
        <v>2022</v>
      </c>
      <c r="B32" s="21"/>
      <c r="C32" s="21"/>
      <c r="D32" s="21"/>
      <c r="E32" s="21"/>
      <c r="F32" s="172" t="s">
        <v>51</v>
      </c>
    </row>
    <row r="33" spans="1:6" ht="31.5" thickBot="1">
      <c r="A33" s="64" t="s">
        <v>50</v>
      </c>
      <c r="B33" s="64" t="s">
        <v>49</v>
      </c>
      <c r="C33" s="64" t="s">
        <v>48</v>
      </c>
      <c r="D33" s="64" t="s">
        <v>47</v>
      </c>
      <c r="E33" s="64" t="s">
        <v>46</v>
      </c>
      <c r="F33" s="64" t="s">
        <v>45</v>
      </c>
    </row>
    <row r="34" spans="1:6" ht="15.5">
      <c r="A34" s="66" t="s">
        <v>44</v>
      </c>
      <c r="B34" s="87" t="s">
        <v>43</v>
      </c>
      <c r="C34" s="92">
        <v>36.99</v>
      </c>
      <c r="D34" s="92">
        <v>192.33699999999999</v>
      </c>
      <c r="E34" s="92">
        <f>C34+D34</f>
        <v>229.327</v>
      </c>
      <c r="F34" s="92">
        <f>E34/2</f>
        <v>114.6635</v>
      </c>
    </row>
    <row r="35" spans="1:6" ht="15.5">
      <c r="A35" s="66" t="s">
        <v>42</v>
      </c>
      <c r="B35" s="87" t="s">
        <v>39</v>
      </c>
      <c r="C35" s="92">
        <v>125.06399999999999</v>
      </c>
      <c r="D35" s="92">
        <v>365.93700000000001</v>
      </c>
      <c r="E35" s="92">
        <f>C35+D35</f>
        <v>491.00099999999998</v>
      </c>
      <c r="F35" s="92">
        <f>E35/2</f>
        <v>245.50049999999999</v>
      </c>
    </row>
    <row r="36" spans="1:6" ht="15.5">
      <c r="A36" s="66" t="s">
        <v>42</v>
      </c>
      <c r="B36" s="85" t="s">
        <v>37</v>
      </c>
      <c r="C36" s="157">
        <v>514.13</v>
      </c>
      <c r="D36" s="157">
        <v>1541.7</v>
      </c>
      <c r="E36" s="92">
        <f>C36+D36</f>
        <v>2055.83</v>
      </c>
      <c r="F36" s="157">
        <v>2055.8249999999998</v>
      </c>
    </row>
    <row r="37" spans="1:6" ht="15.5">
      <c r="A37" s="66" t="s">
        <v>41</v>
      </c>
      <c r="B37" s="87" t="s">
        <v>39</v>
      </c>
      <c r="C37" s="92">
        <v>2.4540000000000002</v>
      </c>
      <c r="D37" s="92">
        <v>1.2190000000000001</v>
      </c>
      <c r="E37" s="158">
        <f>C37+D37</f>
        <v>3.673</v>
      </c>
      <c r="F37" s="92">
        <f>E37/2</f>
        <v>1.8365</v>
      </c>
    </row>
    <row r="38" spans="1:6" ht="15.5">
      <c r="A38" s="66" t="s">
        <v>41</v>
      </c>
      <c r="B38" s="85" t="s">
        <v>37</v>
      </c>
      <c r="C38" s="157">
        <v>389.33199999999999</v>
      </c>
      <c r="D38" s="157">
        <v>2527.8910000000001</v>
      </c>
      <c r="E38" s="157">
        <f>C38+D38</f>
        <v>2917.223</v>
      </c>
      <c r="F38" s="157">
        <f>E38</f>
        <v>2917.223</v>
      </c>
    </row>
    <row r="39" spans="1:6" ht="15.5">
      <c r="A39" s="87" t="s">
        <v>40</v>
      </c>
      <c r="B39" s="87" t="s">
        <v>39</v>
      </c>
      <c r="C39" s="92">
        <v>2.2629999999999999</v>
      </c>
      <c r="D39" s="92">
        <v>0</v>
      </c>
      <c r="E39" s="92">
        <v>2.2629999999999999</v>
      </c>
      <c r="F39" s="92">
        <f>E39/2</f>
        <v>1.1315</v>
      </c>
    </row>
    <row r="40" spans="1:6" ht="15.5">
      <c r="A40" s="87" t="s">
        <v>40</v>
      </c>
      <c r="B40" s="85" t="s">
        <v>37</v>
      </c>
      <c r="C40" s="157">
        <v>302.23</v>
      </c>
      <c r="D40" s="157">
        <v>4423.0529999999999</v>
      </c>
      <c r="E40" s="157">
        <f>C40+D40</f>
        <v>4725.2829999999994</v>
      </c>
      <c r="F40" s="157">
        <f>E40</f>
        <v>4725.2829999999994</v>
      </c>
    </row>
    <row r="41" spans="1:6" ht="15.5">
      <c r="A41" s="87" t="s">
        <v>38</v>
      </c>
      <c r="B41" s="87" t="s">
        <v>39</v>
      </c>
      <c r="C41" s="92">
        <v>1.8959999999999999</v>
      </c>
      <c r="D41" s="92">
        <v>0</v>
      </c>
      <c r="E41" s="92">
        <v>1.8959999999999999</v>
      </c>
      <c r="F41" s="92">
        <v>0.94799999999999995</v>
      </c>
    </row>
    <row r="42" spans="1:6" ht="15.5">
      <c r="A42" s="67" t="s">
        <v>38</v>
      </c>
      <c r="B42" s="85" t="s">
        <v>37</v>
      </c>
      <c r="C42" s="157">
        <v>4606.5379999999996</v>
      </c>
      <c r="D42" s="157">
        <v>11164.214</v>
      </c>
      <c r="E42" s="157">
        <f>C42+D42</f>
        <v>15770.752</v>
      </c>
      <c r="F42" s="157">
        <f>E42</f>
        <v>15770.752</v>
      </c>
    </row>
    <row r="43" spans="1:6" ht="15.5">
      <c r="A43" s="94" t="s">
        <v>36</v>
      </c>
      <c r="B43" s="173"/>
      <c r="C43" s="114">
        <f>SUM(C34:C42)</f>
        <v>5980.896999999999</v>
      </c>
      <c r="D43" s="114">
        <f>SUM(D34:D42)</f>
        <v>20216.351000000002</v>
      </c>
      <c r="E43" s="114">
        <f>SUM(E34:E42)</f>
        <v>26197.248</v>
      </c>
      <c r="F43" s="114">
        <f>SUM(F34:F42)</f>
        <v>25833.163</v>
      </c>
    </row>
    <row r="44" spans="1:6">
      <c r="A44" s="44"/>
      <c r="B44" s="21"/>
      <c r="C44" s="21"/>
      <c r="D44" s="21"/>
      <c r="E44" s="21"/>
      <c r="F44" s="84" t="s">
        <v>35</v>
      </c>
    </row>
    <row r="45" spans="1:6">
      <c r="A45" s="44"/>
      <c r="B45" s="21"/>
      <c r="C45" s="21"/>
      <c r="D45" s="21"/>
      <c r="E45" s="21"/>
      <c r="F45" s="90"/>
    </row>
    <row r="46" spans="1:6" ht="15.5">
      <c r="A46" s="174">
        <v>2023</v>
      </c>
      <c r="B46" s="1"/>
      <c r="C46" s="1"/>
      <c r="D46" s="1"/>
      <c r="E46" s="1"/>
      <c r="F46" s="84" t="s">
        <v>51</v>
      </c>
    </row>
    <row r="47" spans="1:6" ht="31.5" thickBot="1">
      <c r="A47" s="64" t="s">
        <v>50</v>
      </c>
      <c r="B47" s="64" t="s">
        <v>49</v>
      </c>
      <c r="C47" s="64" t="s">
        <v>48</v>
      </c>
      <c r="D47" s="64" t="s">
        <v>47</v>
      </c>
      <c r="E47" s="64" t="s">
        <v>46</v>
      </c>
      <c r="F47" s="64" t="s">
        <v>45</v>
      </c>
    </row>
    <row r="48" spans="1:6" ht="15.5">
      <c r="A48" s="66" t="s">
        <v>44</v>
      </c>
      <c r="B48" s="89" t="s">
        <v>43</v>
      </c>
      <c r="C48" s="156">
        <v>36.99</v>
      </c>
      <c r="D48" s="156">
        <v>192.37700000000001</v>
      </c>
      <c r="E48" s="156">
        <f>C48+D48</f>
        <v>229.36700000000002</v>
      </c>
      <c r="F48" s="92">
        <f>E48/2</f>
        <v>114.68350000000001</v>
      </c>
    </row>
    <row r="49" spans="1:6" ht="15.5">
      <c r="A49" s="66" t="s">
        <v>42</v>
      </c>
      <c r="B49" s="86" t="s">
        <v>39</v>
      </c>
      <c r="C49" s="92">
        <v>123.19800000000001</v>
      </c>
      <c r="D49" s="92">
        <v>366.49400000000003</v>
      </c>
      <c r="E49" s="92">
        <f>C49+D49</f>
        <v>489.69200000000001</v>
      </c>
      <c r="F49" s="92">
        <f>E49/2</f>
        <v>244.846</v>
      </c>
    </row>
    <row r="50" spans="1:6" ht="15.5">
      <c r="A50" s="66" t="s">
        <v>42</v>
      </c>
      <c r="B50" s="88" t="s">
        <v>37</v>
      </c>
      <c r="C50" s="157">
        <v>511.90700000000004</v>
      </c>
      <c r="D50" s="157">
        <v>1545.473</v>
      </c>
      <c r="E50" s="157">
        <f>C50+D50</f>
        <v>2057.38</v>
      </c>
      <c r="F50" s="157">
        <f>E50</f>
        <v>2057.38</v>
      </c>
    </row>
    <row r="51" spans="1:6" ht="15.5">
      <c r="A51" s="66" t="s">
        <v>41</v>
      </c>
      <c r="B51" s="87" t="s">
        <v>39</v>
      </c>
      <c r="C51" s="92">
        <v>2.419</v>
      </c>
      <c r="D51" s="92">
        <v>1.254</v>
      </c>
      <c r="E51" s="92">
        <f>C51+D51</f>
        <v>3.673</v>
      </c>
      <c r="F51" s="92">
        <f>E51/2</f>
        <v>1.8365</v>
      </c>
    </row>
    <row r="52" spans="1:6" ht="15.5">
      <c r="A52" s="66" t="s">
        <v>41</v>
      </c>
      <c r="B52" s="85" t="s">
        <v>37</v>
      </c>
      <c r="C52" s="157">
        <v>379.95100000000002</v>
      </c>
      <c r="D52" s="157">
        <v>2533.1770000000001</v>
      </c>
      <c r="E52" s="157">
        <f>C52+D52</f>
        <v>2913.1280000000002</v>
      </c>
      <c r="F52" s="157">
        <f>E52</f>
        <v>2913.1280000000002</v>
      </c>
    </row>
    <row r="53" spans="1:6" ht="15.5">
      <c r="A53" s="87" t="s">
        <v>40</v>
      </c>
      <c r="B53" s="86" t="s">
        <v>39</v>
      </c>
      <c r="C53" s="92">
        <v>2.2629999999999999</v>
      </c>
      <c r="D53" s="92">
        <v>0</v>
      </c>
      <c r="E53" s="92">
        <v>2.2629999999999999</v>
      </c>
      <c r="F53" s="92">
        <f>E53/2</f>
        <v>1.1315</v>
      </c>
    </row>
    <row r="54" spans="1:6" ht="15.5">
      <c r="A54" s="87" t="s">
        <v>40</v>
      </c>
      <c r="B54" s="88" t="s">
        <v>37</v>
      </c>
      <c r="C54" s="157">
        <v>287.33999999999997</v>
      </c>
      <c r="D54" s="157">
        <v>4437.4089999999997</v>
      </c>
      <c r="E54" s="157">
        <f>C54+D54</f>
        <v>4724.7489999999998</v>
      </c>
      <c r="F54" s="157">
        <f>E54</f>
        <v>4724.7489999999998</v>
      </c>
    </row>
    <row r="55" spans="1:6" ht="15.5">
      <c r="A55" s="87" t="s">
        <v>38</v>
      </c>
      <c r="B55" s="86" t="s">
        <v>39</v>
      </c>
      <c r="C55" s="159">
        <v>1.8959999999999999</v>
      </c>
      <c r="D55" s="159">
        <v>0</v>
      </c>
      <c r="E55" s="159">
        <v>1.8959999999999999</v>
      </c>
      <c r="F55" s="159">
        <v>0.94799999999999995</v>
      </c>
    </row>
    <row r="56" spans="1:6" ht="15.5">
      <c r="A56" s="67" t="s">
        <v>38</v>
      </c>
      <c r="B56" s="85" t="s">
        <v>37</v>
      </c>
      <c r="C56" s="157">
        <v>4639.2780000000002</v>
      </c>
      <c r="D56" s="157">
        <v>11160.489</v>
      </c>
      <c r="E56" s="157">
        <f>C56+D56</f>
        <v>15799.767</v>
      </c>
      <c r="F56" s="157">
        <f>E56</f>
        <v>15799.767</v>
      </c>
    </row>
    <row r="57" spans="1:6" ht="15.5">
      <c r="A57" s="94" t="s">
        <v>36</v>
      </c>
      <c r="B57" s="175"/>
      <c r="C57" s="176">
        <f>SUM(C48:C56)</f>
        <v>5985.2420000000002</v>
      </c>
      <c r="D57" s="176">
        <f>SUM(D48:D56)</f>
        <v>20236.672999999999</v>
      </c>
      <c r="E57" s="176">
        <f>SUM(E48:E56)</f>
        <v>26221.915000000001</v>
      </c>
      <c r="F57" s="176">
        <f>SUM(F48:F56)</f>
        <v>25858.469499999999</v>
      </c>
    </row>
    <row r="58" spans="1:6">
      <c r="A58" s="63"/>
      <c r="B58" s="1"/>
      <c r="C58" s="1"/>
      <c r="D58" s="1"/>
      <c r="E58" s="1"/>
      <c r="F58" s="84" t="s">
        <v>35</v>
      </c>
    </row>
  </sheetData>
  <hyperlinks>
    <hyperlink ref="A2" location="'Notes and Definitions'!A2" display="Notes and Definitions for the table below " xr:uid="{C0D5FFB7-BC0A-424D-A8B6-0819CAC43EB3}"/>
  </hyperlinks>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H82"/>
  <sheetViews>
    <sheetView workbookViewId="0"/>
  </sheetViews>
  <sheetFormatPr defaultColWidth="10.81640625" defaultRowHeight="15.5"/>
  <cols>
    <col min="1" max="1" width="38.1796875" style="9" customWidth="1"/>
    <col min="2" max="2" width="14.453125" style="31" customWidth="1"/>
    <col min="3" max="3" width="16.54296875" style="31" customWidth="1"/>
    <col min="4" max="4" width="19.81640625" style="31" customWidth="1"/>
    <col min="5" max="6" width="10.81640625" style="31"/>
    <col min="7" max="7" width="13.81640625" style="31" customWidth="1"/>
    <col min="8" max="8" width="22.54296875" style="31" customWidth="1"/>
    <col min="9" max="16384" width="10.81640625" style="9"/>
  </cols>
  <sheetData>
    <row r="1" spans="1:8">
      <c r="A1" s="38" t="s">
        <v>158</v>
      </c>
      <c r="D1" s="107"/>
    </row>
    <row r="2" spans="1:8">
      <c r="A2" s="62" t="s">
        <v>27</v>
      </c>
      <c r="B2" s="11"/>
      <c r="D2" s="107"/>
    </row>
    <row r="3" spans="1:8">
      <c r="A3" s="60"/>
      <c r="B3" s="11"/>
      <c r="D3" s="107"/>
    </row>
    <row r="4" spans="1:8">
      <c r="A4" s="68">
        <v>2020</v>
      </c>
      <c r="B4" s="66"/>
      <c r="C4" s="66"/>
      <c r="D4" s="66"/>
      <c r="E4" s="66"/>
      <c r="F4" s="66"/>
      <c r="G4" s="66"/>
      <c r="H4" s="177" t="s">
        <v>51</v>
      </c>
    </row>
    <row r="5" spans="1:8" s="180" customFormat="1" ht="31.5" thickBot="1">
      <c r="A5" s="64" t="s">
        <v>157</v>
      </c>
      <c r="B5" s="64" t="s">
        <v>70</v>
      </c>
      <c r="C5" s="64" t="s">
        <v>92</v>
      </c>
      <c r="D5" s="64" t="s">
        <v>93</v>
      </c>
      <c r="E5" s="64" t="s">
        <v>41</v>
      </c>
      <c r="F5" s="64" t="s">
        <v>40</v>
      </c>
      <c r="G5" s="64" t="s">
        <v>38</v>
      </c>
      <c r="H5" s="64" t="s">
        <v>69</v>
      </c>
    </row>
    <row r="6" spans="1:8">
      <c r="A6" s="98" t="s">
        <v>67</v>
      </c>
      <c r="B6" s="108">
        <v>35.1965</v>
      </c>
      <c r="C6" s="108">
        <v>21.672999999999998</v>
      </c>
      <c r="D6" s="108">
        <v>107.837</v>
      </c>
      <c r="E6" s="108">
        <v>150.19550000000001</v>
      </c>
      <c r="F6" s="108">
        <v>238.4795</v>
      </c>
      <c r="G6" s="108">
        <v>820.48199999999997</v>
      </c>
      <c r="H6" s="108">
        <v>1373.8634999999999</v>
      </c>
    </row>
    <row r="7" spans="1:8">
      <c r="A7" s="98" t="s">
        <v>66</v>
      </c>
      <c r="B7" s="108">
        <v>0</v>
      </c>
      <c r="C7" s="108">
        <v>8.7490000000000006</v>
      </c>
      <c r="D7" s="108">
        <v>288.01499999999999</v>
      </c>
      <c r="E7" s="108">
        <v>452.892</v>
      </c>
      <c r="F7" s="108">
        <v>446.03</v>
      </c>
      <c r="G7" s="108">
        <v>1449.6030000000001</v>
      </c>
      <c r="H7" s="108">
        <v>2645.2889999999998</v>
      </c>
    </row>
    <row r="8" spans="1:8">
      <c r="A8" s="98" t="s">
        <v>65</v>
      </c>
      <c r="B8" s="108">
        <v>7.3</v>
      </c>
      <c r="C8" s="108">
        <v>38.128</v>
      </c>
      <c r="D8" s="108">
        <v>152.53299999999999</v>
      </c>
      <c r="E8" s="108">
        <v>236.12150000000003</v>
      </c>
      <c r="F8" s="108">
        <v>308.54599999999999</v>
      </c>
      <c r="G8" s="108">
        <v>1007.6469999999999</v>
      </c>
      <c r="H8" s="108">
        <v>1750.2755</v>
      </c>
    </row>
    <row r="9" spans="1:8">
      <c r="A9" s="187" t="s">
        <v>64</v>
      </c>
      <c r="B9" s="125">
        <v>42.496499999999997</v>
      </c>
      <c r="C9" s="125">
        <v>68.55</v>
      </c>
      <c r="D9" s="125">
        <v>548.38499999999999</v>
      </c>
      <c r="E9" s="125">
        <v>839.20900000000006</v>
      </c>
      <c r="F9" s="125">
        <v>993.05549999999994</v>
      </c>
      <c r="G9" s="125">
        <v>3277.732</v>
      </c>
      <c r="H9" s="125">
        <v>5769.4279999999999</v>
      </c>
    </row>
    <row r="10" spans="1:8">
      <c r="A10" s="98" t="s">
        <v>63</v>
      </c>
      <c r="B10" s="108">
        <v>0</v>
      </c>
      <c r="C10" s="108">
        <v>26.388999999999999</v>
      </c>
      <c r="D10" s="108">
        <v>136.31399999999999</v>
      </c>
      <c r="E10" s="108">
        <v>57.789499999999997</v>
      </c>
      <c r="F10" s="108">
        <v>165.167</v>
      </c>
      <c r="G10" s="108">
        <v>778.52700000000004</v>
      </c>
      <c r="H10" s="108">
        <v>1164.1865</v>
      </c>
    </row>
    <row r="11" spans="1:8">
      <c r="A11" s="98" t="s">
        <v>62</v>
      </c>
      <c r="B11" s="108">
        <v>25.47</v>
      </c>
      <c r="C11" s="108">
        <v>29.913</v>
      </c>
      <c r="D11" s="108">
        <v>231.571</v>
      </c>
      <c r="E11" s="108">
        <v>397.20100000000002</v>
      </c>
      <c r="F11" s="108">
        <v>677.625</v>
      </c>
      <c r="G11" s="108">
        <v>2218.4389999999999</v>
      </c>
      <c r="H11" s="108">
        <v>3580.2190000000001</v>
      </c>
    </row>
    <row r="12" spans="1:8">
      <c r="A12" s="98" t="s">
        <v>61</v>
      </c>
      <c r="B12" s="108">
        <v>0</v>
      </c>
      <c r="C12" s="108">
        <v>29.436499999999999</v>
      </c>
      <c r="D12" s="108">
        <v>320.55099999999999</v>
      </c>
      <c r="E12" s="108">
        <v>290.005</v>
      </c>
      <c r="F12" s="108">
        <v>604.91399999999999</v>
      </c>
      <c r="G12" s="108">
        <v>1824.9070000000002</v>
      </c>
      <c r="H12" s="108">
        <v>3069.8135000000002</v>
      </c>
    </row>
    <row r="13" spans="1:8">
      <c r="A13" s="187" t="s">
        <v>60</v>
      </c>
      <c r="B13" s="125">
        <v>25.47</v>
      </c>
      <c r="C13" s="125">
        <v>85.738500000000002</v>
      </c>
      <c r="D13" s="125">
        <v>688.43599999999992</v>
      </c>
      <c r="E13" s="125">
        <v>744.99549999999999</v>
      </c>
      <c r="F13" s="125">
        <v>1447.7060000000001</v>
      </c>
      <c r="G13" s="125">
        <v>4821.8729999999996</v>
      </c>
      <c r="H13" s="125">
        <v>7814.2190000000001</v>
      </c>
    </row>
    <row r="14" spans="1:8">
      <c r="A14" s="98" t="s">
        <v>59</v>
      </c>
      <c r="B14" s="110">
        <v>12.3695</v>
      </c>
      <c r="C14" s="110">
        <v>21.134499999999999</v>
      </c>
      <c r="D14" s="108">
        <v>92.218999999999994</v>
      </c>
      <c r="E14" s="108">
        <v>50.755000000000003</v>
      </c>
      <c r="F14" s="108">
        <v>35.826000000000001</v>
      </c>
      <c r="G14" s="108">
        <v>877.25199999999995</v>
      </c>
      <c r="H14" s="108">
        <v>1089.556</v>
      </c>
    </row>
    <row r="15" spans="1:8">
      <c r="A15" s="98" t="s">
        <v>58</v>
      </c>
      <c r="B15" s="108">
        <v>25.582000000000001</v>
      </c>
      <c r="C15" s="108">
        <v>11.919499999999999</v>
      </c>
      <c r="D15" s="108">
        <v>111.28100000000001</v>
      </c>
      <c r="E15" s="108">
        <v>141.75899999999999</v>
      </c>
      <c r="F15" s="108">
        <v>227.61600000000001</v>
      </c>
      <c r="G15" s="108">
        <v>848.25699999999995</v>
      </c>
      <c r="H15" s="108">
        <v>1366.4144999999999</v>
      </c>
    </row>
    <row r="16" spans="1:8">
      <c r="A16" s="187" t="s">
        <v>57</v>
      </c>
      <c r="B16" s="125">
        <v>37.951500000000003</v>
      </c>
      <c r="C16" s="125">
        <v>33.054000000000002</v>
      </c>
      <c r="D16" s="125">
        <v>203.5</v>
      </c>
      <c r="E16" s="125">
        <v>192.51399999999998</v>
      </c>
      <c r="F16" s="125">
        <v>263.44200000000001</v>
      </c>
      <c r="G16" s="125">
        <v>1725.509</v>
      </c>
      <c r="H16" s="125">
        <v>2455.9704999999999</v>
      </c>
    </row>
    <row r="17" spans="1:8">
      <c r="A17" s="98" t="s">
        <v>56</v>
      </c>
      <c r="B17" s="108">
        <v>0</v>
      </c>
      <c r="C17" s="108">
        <v>17.352</v>
      </c>
      <c r="D17" s="108">
        <v>91.3</v>
      </c>
      <c r="E17" s="108">
        <v>260.947</v>
      </c>
      <c r="F17" s="108">
        <v>452.10500000000002</v>
      </c>
      <c r="G17" s="108">
        <v>1512.855</v>
      </c>
      <c r="H17" s="108">
        <v>2334.5590000000002</v>
      </c>
    </row>
    <row r="18" spans="1:8">
      <c r="A18" s="98" t="s">
        <v>55</v>
      </c>
      <c r="B18" s="108">
        <v>0</v>
      </c>
      <c r="C18" s="108">
        <v>0.56999999999999995</v>
      </c>
      <c r="D18" s="108">
        <v>319.048</v>
      </c>
      <c r="E18" s="108">
        <v>454.875</v>
      </c>
      <c r="F18" s="108">
        <v>878.64</v>
      </c>
      <c r="G18" s="108">
        <v>2336.337</v>
      </c>
      <c r="H18" s="108">
        <v>3989.47</v>
      </c>
    </row>
    <row r="19" spans="1:8">
      <c r="A19" s="98" t="s">
        <v>54</v>
      </c>
      <c r="B19" s="108">
        <v>8.8829999999999991</v>
      </c>
      <c r="C19" s="108">
        <v>27.395499999999998</v>
      </c>
      <c r="D19" s="108">
        <v>215.62299999999999</v>
      </c>
      <c r="E19" s="108">
        <v>419.82900000000001</v>
      </c>
      <c r="F19" s="108">
        <v>692.04100000000005</v>
      </c>
      <c r="G19" s="108">
        <v>2042.1320000000001</v>
      </c>
      <c r="H19" s="108">
        <v>3405.9035000000003</v>
      </c>
    </row>
    <row r="20" spans="1:8" ht="16" thickBot="1">
      <c r="A20" s="147" t="s">
        <v>53</v>
      </c>
      <c r="B20" s="91">
        <v>8.8829999999999991</v>
      </c>
      <c r="C20" s="91">
        <v>45.317499999999995</v>
      </c>
      <c r="D20" s="91">
        <v>625.971</v>
      </c>
      <c r="E20" s="91">
        <v>1135.6510000000001</v>
      </c>
      <c r="F20" s="91">
        <v>2022.7860000000001</v>
      </c>
      <c r="G20" s="91">
        <v>5891.3240000000005</v>
      </c>
      <c r="H20" s="91">
        <v>9729.9325000000008</v>
      </c>
    </row>
    <row r="21" spans="1:8" ht="16" thickBot="1">
      <c r="A21" s="178" t="s">
        <v>52</v>
      </c>
      <c r="B21" s="114">
        <v>114.801</v>
      </c>
      <c r="C21" s="114">
        <v>232.66</v>
      </c>
      <c r="D21" s="114">
        <v>2066.2919999999999</v>
      </c>
      <c r="E21" s="114">
        <v>2912.3694999999998</v>
      </c>
      <c r="F21" s="114">
        <v>4726.9894999999997</v>
      </c>
      <c r="G21" s="114">
        <v>15716.438</v>
      </c>
      <c r="H21" s="114">
        <v>25769.550000000003</v>
      </c>
    </row>
    <row r="22" spans="1:8">
      <c r="A22" s="22"/>
      <c r="B22" s="67"/>
      <c r="C22" s="67"/>
      <c r="D22" s="67"/>
      <c r="E22" s="67"/>
      <c r="F22" s="66"/>
      <c r="G22" s="66"/>
      <c r="H22" s="111" t="s">
        <v>35</v>
      </c>
    </row>
    <row r="23" spans="1:8">
      <c r="A23" s="22"/>
      <c r="B23" s="67"/>
      <c r="C23" s="67"/>
      <c r="D23" s="67"/>
      <c r="E23" s="67"/>
      <c r="F23" s="67"/>
      <c r="G23" s="67"/>
      <c r="H23" s="67"/>
    </row>
    <row r="24" spans="1:8">
      <c r="A24" s="68">
        <v>2021</v>
      </c>
      <c r="B24" s="67"/>
      <c r="C24" s="67"/>
      <c r="D24" s="67"/>
      <c r="E24" s="67"/>
      <c r="F24" s="67"/>
      <c r="G24" s="67"/>
      <c r="H24" s="100" t="s">
        <v>51</v>
      </c>
    </row>
    <row r="25" spans="1:8" ht="31.5" thickBot="1">
      <c r="A25" s="64" t="s">
        <v>157</v>
      </c>
      <c r="B25" s="64" t="s">
        <v>70</v>
      </c>
      <c r="C25" s="64" t="s">
        <v>92</v>
      </c>
      <c r="D25" s="64" t="s">
        <v>93</v>
      </c>
      <c r="E25" s="64" t="s">
        <v>41</v>
      </c>
      <c r="F25" s="64" t="s">
        <v>40</v>
      </c>
      <c r="G25" s="64" t="s">
        <v>38</v>
      </c>
      <c r="H25" s="64" t="s">
        <v>69</v>
      </c>
    </row>
    <row r="26" spans="1:8">
      <c r="A26" s="65" t="s">
        <v>67</v>
      </c>
      <c r="B26" s="96">
        <v>35.1965</v>
      </c>
      <c r="C26" s="96">
        <v>21.688500000000001</v>
      </c>
      <c r="D26" s="96">
        <v>107.786</v>
      </c>
      <c r="E26" s="96">
        <v>149.9015</v>
      </c>
      <c r="F26" s="96">
        <v>238.34550000000002</v>
      </c>
      <c r="G26" s="96">
        <v>823.13800000000003</v>
      </c>
      <c r="H26" s="96">
        <v>1376.056</v>
      </c>
    </row>
    <row r="27" spans="1:8">
      <c r="A27" s="65" t="s">
        <v>66</v>
      </c>
      <c r="B27" s="96">
        <v>0</v>
      </c>
      <c r="C27" s="96">
        <v>8.7645</v>
      </c>
      <c r="D27" s="96">
        <v>287.72199999999998</v>
      </c>
      <c r="E27" s="96">
        <v>453.69400000000002</v>
      </c>
      <c r="F27" s="96">
        <v>445.93700000000001</v>
      </c>
      <c r="G27" s="96">
        <v>1449.952</v>
      </c>
      <c r="H27" s="96">
        <v>2646.0694999999996</v>
      </c>
    </row>
    <row r="28" spans="1:8">
      <c r="A28" s="65" t="s">
        <v>65</v>
      </c>
      <c r="B28" s="96">
        <v>7.3</v>
      </c>
      <c r="C28" s="96">
        <v>38.121499999999997</v>
      </c>
      <c r="D28" s="96">
        <v>152.142</v>
      </c>
      <c r="E28" s="96">
        <v>235.84450000000001</v>
      </c>
      <c r="F28" s="96">
        <v>308.577</v>
      </c>
      <c r="G28" s="96">
        <v>1009.7719999999999</v>
      </c>
      <c r="H28" s="96">
        <v>1751.7570000000001</v>
      </c>
    </row>
    <row r="29" spans="1:8">
      <c r="A29" s="124" t="s">
        <v>64</v>
      </c>
      <c r="B29" s="127">
        <v>42.496499999999997</v>
      </c>
      <c r="C29" s="127">
        <v>68.5745</v>
      </c>
      <c r="D29" s="127">
        <v>547.65</v>
      </c>
      <c r="E29" s="127">
        <v>839.44</v>
      </c>
      <c r="F29" s="127">
        <v>992.85950000000003</v>
      </c>
      <c r="G29" s="127">
        <v>3282.8620000000001</v>
      </c>
      <c r="H29" s="127">
        <v>5773.8824999999997</v>
      </c>
    </row>
    <row r="30" spans="1:8">
      <c r="A30" s="65" t="s">
        <v>63</v>
      </c>
      <c r="B30" s="96">
        <v>0</v>
      </c>
      <c r="C30" s="96">
        <v>26.388999999999999</v>
      </c>
      <c r="D30" s="96">
        <v>136.31399999999999</v>
      </c>
      <c r="E30" s="96">
        <v>57.789499999999997</v>
      </c>
      <c r="F30" s="96">
        <v>165.15700000000001</v>
      </c>
      <c r="G30" s="96">
        <v>779.21100000000001</v>
      </c>
      <c r="H30" s="96">
        <v>1164.8605</v>
      </c>
    </row>
    <row r="31" spans="1:8">
      <c r="A31" s="65" t="s">
        <v>62</v>
      </c>
      <c r="B31" s="96">
        <v>25.47</v>
      </c>
      <c r="C31" s="96">
        <v>29.913</v>
      </c>
      <c r="D31" s="96">
        <v>231.571</v>
      </c>
      <c r="E31" s="96">
        <v>397.20100000000002</v>
      </c>
      <c r="F31" s="96">
        <v>677.19399999999996</v>
      </c>
      <c r="G31" s="96">
        <v>2215.1089999999999</v>
      </c>
      <c r="H31" s="96">
        <v>3576.4579999999996</v>
      </c>
    </row>
    <row r="32" spans="1:8">
      <c r="A32" s="65" t="s">
        <v>61</v>
      </c>
      <c r="B32" s="96">
        <v>0</v>
      </c>
      <c r="C32" s="96">
        <v>29.436499999999999</v>
      </c>
      <c r="D32" s="96">
        <v>320.55099999999999</v>
      </c>
      <c r="E32" s="96">
        <v>290.005</v>
      </c>
      <c r="F32" s="96">
        <v>604.83100000000002</v>
      </c>
      <c r="G32" s="96">
        <v>1827.5920000000001</v>
      </c>
      <c r="H32" s="96">
        <v>3072.4155000000001</v>
      </c>
    </row>
    <row r="33" spans="1:8">
      <c r="A33" s="124" t="s">
        <v>60</v>
      </c>
      <c r="B33" s="127">
        <v>25.47</v>
      </c>
      <c r="C33" s="127">
        <v>85.738500000000002</v>
      </c>
      <c r="D33" s="127">
        <v>688.43599999999992</v>
      </c>
      <c r="E33" s="127">
        <v>744.99549999999999</v>
      </c>
      <c r="F33" s="127">
        <v>1447.182</v>
      </c>
      <c r="G33" s="127">
        <v>4821.9120000000003</v>
      </c>
      <c r="H33" s="127">
        <v>7813.7339999999995</v>
      </c>
    </row>
    <row r="34" spans="1:8">
      <c r="A34" s="65" t="s">
        <v>59</v>
      </c>
      <c r="B34" s="97">
        <v>12.3695</v>
      </c>
      <c r="C34" s="97">
        <v>21.134499999999999</v>
      </c>
      <c r="D34" s="96">
        <v>92.218999999999994</v>
      </c>
      <c r="E34" s="96">
        <v>50.755000000000003</v>
      </c>
      <c r="F34" s="96">
        <v>35.826000000000001</v>
      </c>
      <c r="G34" s="96">
        <v>879.63499999999999</v>
      </c>
      <c r="H34" s="96">
        <v>1091.9389999999999</v>
      </c>
    </row>
    <row r="35" spans="1:8">
      <c r="A35" s="65" t="s">
        <v>58</v>
      </c>
      <c r="B35" s="96">
        <v>25.582000000000001</v>
      </c>
      <c r="C35" s="96">
        <v>11.919499999999999</v>
      </c>
      <c r="D35" s="96">
        <v>111.28100000000001</v>
      </c>
      <c r="E35" s="96">
        <v>141.75899999999999</v>
      </c>
      <c r="F35" s="96">
        <v>227.61600000000001</v>
      </c>
      <c r="G35" s="96">
        <v>855.55899999999997</v>
      </c>
      <c r="H35" s="96">
        <v>1373.7165</v>
      </c>
    </row>
    <row r="36" spans="1:8">
      <c r="A36" s="124" t="s">
        <v>57</v>
      </c>
      <c r="B36" s="127">
        <v>37.951500000000003</v>
      </c>
      <c r="C36" s="127">
        <v>33.054000000000002</v>
      </c>
      <c r="D36" s="127">
        <v>203.5</v>
      </c>
      <c r="E36" s="127">
        <v>192.51399999999998</v>
      </c>
      <c r="F36" s="127">
        <v>263.44200000000001</v>
      </c>
      <c r="G36" s="127">
        <v>1735.194</v>
      </c>
      <c r="H36" s="127">
        <v>2465.6554999999998</v>
      </c>
    </row>
    <row r="37" spans="1:8">
      <c r="A37" s="65" t="s">
        <v>56</v>
      </c>
      <c r="B37" s="96">
        <v>0</v>
      </c>
      <c r="C37" s="96">
        <v>17.352</v>
      </c>
      <c r="D37" s="96">
        <v>91.3</v>
      </c>
      <c r="E37" s="96">
        <v>260.947</v>
      </c>
      <c r="F37" s="96">
        <v>452.04</v>
      </c>
      <c r="G37" s="96">
        <v>1516.5170000000001</v>
      </c>
      <c r="H37" s="96">
        <v>2338.1559999999999</v>
      </c>
    </row>
    <row r="38" spans="1:8">
      <c r="A38" s="65" t="s">
        <v>55</v>
      </c>
      <c r="B38" s="96">
        <v>0</v>
      </c>
      <c r="C38" s="96">
        <v>0.56999999999999995</v>
      </c>
      <c r="D38" s="96">
        <v>319.26900000000001</v>
      </c>
      <c r="E38" s="96">
        <v>454.875</v>
      </c>
      <c r="F38" s="96">
        <v>878.64</v>
      </c>
      <c r="G38" s="96">
        <v>2338.5279999999998</v>
      </c>
      <c r="H38" s="96">
        <v>3991.8819999999996</v>
      </c>
    </row>
    <row r="39" spans="1:8">
      <c r="A39" s="65" t="s">
        <v>54</v>
      </c>
      <c r="B39" s="96">
        <v>8.8829999999999991</v>
      </c>
      <c r="C39" s="96">
        <v>27.395499999999998</v>
      </c>
      <c r="D39" s="96">
        <v>215.62299999999999</v>
      </c>
      <c r="E39" s="96">
        <v>419.82900000000001</v>
      </c>
      <c r="F39" s="96">
        <v>692.04100000000005</v>
      </c>
      <c r="G39" s="96">
        <v>2045.229</v>
      </c>
      <c r="H39" s="96">
        <v>3409.0005000000001</v>
      </c>
    </row>
    <row r="40" spans="1:8" ht="16" thickBot="1">
      <c r="A40" s="64" t="s">
        <v>53</v>
      </c>
      <c r="B40" s="95">
        <v>8.8829999999999991</v>
      </c>
      <c r="C40" s="95">
        <v>45.317499999999995</v>
      </c>
      <c r="D40" s="95">
        <v>626.19200000000001</v>
      </c>
      <c r="E40" s="95">
        <v>1135.6510000000001</v>
      </c>
      <c r="F40" s="95">
        <v>2022.721</v>
      </c>
      <c r="G40" s="95">
        <v>5900.2740000000003</v>
      </c>
      <c r="H40" s="95">
        <v>9739.0384999999987</v>
      </c>
    </row>
    <row r="41" spans="1:8">
      <c r="A41" s="94" t="s">
        <v>52</v>
      </c>
      <c r="B41" s="179">
        <v>114.801</v>
      </c>
      <c r="C41" s="179">
        <v>232.68449999999999</v>
      </c>
      <c r="D41" s="179">
        <v>2065.7779999999998</v>
      </c>
      <c r="E41" s="179">
        <v>2912.6005</v>
      </c>
      <c r="F41" s="179">
        <v>4726.2044999999998</v>
      </c>
      <c r="G41" s="179">
        <v>15740.242000000002</v>
      </c>
      <c r="H41" s="179">
        <v>25792.3105</v>
      </c>
    </row>
    <row r="42" spans="1:8">
      <c r="A42" s="22"/>
      <c r="B42" s="67"/>
      <c r="C42" s="67"/>
      <c r="D42" s="67"/>
      <c r="E42" s="67"/>
      <c r="F42" s="66"/>
      <c r="G42" s="66"/>
      <c r="H42" s="100" t="s">
        <v>35</v>
      </c>
    </row>
    <row r="43" spans="1:8">
      <c r="A43" s="22"/>
      <c r="B43" s="67"/>
      <c r="C43" s="67"/>
      <c r="D43" s="67"/>
      <c r="E43" s="67"/>
      <c r="F43" s="67"/>
      <c r="G43" s="67"/>
      <c r="H43" s="67"/>
    </row>
    <row r="44" spans="1:8">
      <c r="A44" s="68">
        <v>2022</v>
      </c>
      <c r="B44" s="67"/>
      <c r="C44" s="67"/>
      <c r="D44" s="67"/>
      <c r="E44" s="67"/>
      <c r="F44" s="67"/>
      <c r="G44" s="67"/>
      <c r="H44" s="100" t="s">
        <v>51</v>
      </c>
    </row>
    <row r="45" spans="1:8" ht="31.5" thickBot="1">
      <c r="A45" s="64" t="s">
        <v>157</v>
      </c>
      <c r="B45" s="64" t="s">
        <v>70</v>
      </c>
      <c r="C45" s="64" t="s">
        <v>92</v>
      </c>
      <c r="D45" s="64" t="s">
        <v>93</v>
      </c>
      <c r="E45" s="64" t="s">
        <v>41</v>
      </c>
      <c r="F45" s="64" t="s">
        <v>40</v>
      </c>
      <c r="G45" s="64" t="s">
        <v>38</v>
      </c>
      <c r="H45" s="64" t="s">
        <v>69</v>
      </c>
    </row>
    <row r="46" spans="1:8">
      <c r="A46" s="65" t="s">
        <v>67</v>
      </c>
      <c r="B46" s="108">
        <f>70.158/2</f>
        <v>35.079000000000001</v>
      </c>
      <c r="C46" s="108">
        <f>57.114/2</f>
        <v>28.556999999999999</v>
      </c>
      <c r="D46" s="108">
        <v>101.02</v>
      </c>
      <c r="E46" s="112">
        <f>1.219/2+(156.371)</f>
        <v>156.98050000000001</v>
      </c>
      <c r="F46" s="108">
        <f>0.559/2+(238.066)</f>
        <v>238.34550000000002</v>
      </c>
      <c r="G46" s="108">
        <v>826.35299999999995</v>
      </c>
      <c r="H46" s="108">
        <f>SUM(B46:G46)</f>
        <v>1386.335</v>
      </c>
    </row>
    <row r="47" spans="1:8">
      <c r="A47" s="65" t="s">
        <v>66</v>
      </c>
      <c r="B47" s="108">
        <v>0</v>
      </c>
      <c r="C47" s="108">
        <f>17.529/2</f>
        <v>8.7645</v>
      </c>
      <c r="D47" s="108">
        <v>287.72199999999998</v>
      </c>
      <c r="E47" s="112">
        <v>453.69400000000002</v>
      </c>
      <c r="F47" s="108">
        <v>445.93700000000001</v>
      </c>
      <c r="G47" s="108">
        <v>1451.5840000000001</v>
      </c>
      <c r="H47" s="108">
        <f>SUM(B47:G47)</f>
        <v>2647.7015000000001</v>
      </c>
    </row>
    <row r="48" spans="1:8">
      <c r="A48" s="65" t="s">
        <v>65</v>
      </c>
      <c r="B48" s="108">
        <f>14.6/2</f>
        <v>7.3</v>
      </c>
      <c r="C48" s="108">
        <f>76.243/2</f>
        <v>38.121499999999997</v>
      </c>
      <c r="D48" s="108">
        <v>152.142</v>
      </c>
      <c r="E48" s="112">
        <f>0.035/2+(235.827)</f>
        <v>235.84450000000001</v>
      </c>
      <c r="F48" s="108">
        <v>308.577</v>
      </c>
      <c r="G48" s="108">
        <f>0.328/2+(1013.477)</f>
        <v>1013.641</v>
      </c>
      <c r="H48" s="108">
        <f>SUM(B48:G48)</f>
        <v>1755.626</v>
      </c>
    </row>
    <row r="49" spans="1:8">
      <c r="A49" s="124" t="s">
        <v>64</v>
      </c>
      <c r="B49" s="125">
        <f t="shared" ref="B49:H49" si="0">SUM(B46:B48)</f>
        <v>42.378999999999998</v>
      </c>
      <c r="C49" s="125">
        <f t="shared" si="0"/>
        <v>75.442999999999998</v>
      </c>
      <c r="D49" s="125">
        <f t="shared" si="0"/>
        <v>540.88400000000001</v>
      </c>
      <c r="E49" s="126">
        <f t="shared" si="0"/>
        <v>846.51900000000012</v>
      </c>
      <c r="F49" s="126">
        <f t="shared" si="0"/>
        <v>992.85950000000003</v>
      </c>
      <c r="G49" s="125">
        <f t="shared" si="0"/>
        <v>3291.578</v>
      </c>
      <c r="H49" s="125">
        <f t="shared" si="0"/>
        <v>5789.6625000000004</v>
      </c>
    </row>
    <row r="50" spans="1:8">
      <c r="A50" s="65" t="s">
        <v>63</v>
      </c>
      <c r="B50" s="108">
        <v>0</v>
      </c>
      <c r="C50" s="108">
        <f>52.778/2</f>
        <v>26.388999999999999</v>
      </c>
      <c r="D50" s="108">
        <v>136.31399999999999</v>
      </c>
      <c r="E50" s="112">
        <f>0.157/2+57.711</f>
        <v>57.789499999999997</v>
      </c>
      <c r="F50" s="108">
        <f>1.704/2+(163.988)</f>
        <v>164.84</v>
      </c>
      <c r="G50" s="108">
        <v>783.36599999999999</v>
      </c>
      <c r="H50" s="108">
        <f>SUM(B50:G50)</f>
        <v>1168.6985</v>
      </c>
    </row>
    <row r="51" spans="1:8">
      <c r="A51" s="65" t="s">
        <v>62</v>
      </c>
      <c r="B51" s="108">
        <f>50.94/2</f>
        <v>25.47</v>
      </c>
      <c r="C51" s="108">
        <f>59.826/2</f>
        <v>29.913</v>
      </c>
      <c r="D51" s="108">
        <v>231.571</v>
      </c>
      <c r="E51" s="112">
        <v>396.59500000000003</v>
      </c>
      <c r="F51" s="108">
        <v>677.4</v>
      </c>
      <c r="G51" s="108">
        <v>2221.3710000000001</v>
      </c>
      <c r="H51" s="108">
        <f>SUM(B51:G51)</f>
        <v>3582.32</v>
      </c>
    </row>
    <row r="52" spans="1:8">
      <c r="A52" s="65" t="s">
        <v>61</v>
      </c>
      <c r="B52" s="108">
        <v>0</v>
      </c>
      <c r="C52" s="108">
        <f>58.873/2</f>
        <v>29.436499999999999</v>
      </c>
      <c r="D52" s="108">
        <v>320.55099999999999</v>
      </c>
      <c r="E52" s="112">
        <v>290.005</v>
      </c>
      <c r="F52" s="108">
        <v>604.83100000000002</v>
      </c>
      <c r="G52" s="108">
        <f>1.568/2+(1828.083)</f>
        <v>1828.8670000000002</v>
      </c>
      <c r="H52" s="108">
        <f>SUM(B52:G52)</f>
        <v>3073.6905000000002</v>
      </c>
    </row>
    <row r="53" spans="1:8">
      <c r="A53" s="124" t="s">
        <v>60</v>
      </c>
      <c r="B53" s="125">
        <f t="shared" ref="B53:H53" si="1">SUM(B50:B52)</f>
        <v>25.47</v>
      </c>
      <c r="C53" s="125">
        <f t="shared" si="1"/>
        <v>85.738500000000002</v>
      </c>
      <c r="D53" s="125">
        <f t="shared" si="1"/>
        <v>688.43599999999992</v>
      </c>
      <c r="E53" s="126">
        <f t="shared" si="1"/>
        <v>744.3895</v>
      </c>
      <c r="F53" s="126">
        <f t="shared" si="1"/>
        <v>1447.0709999999999</v>
      </c>
      <c r="G53" s="125">
        <f t="shared" si="1"/>
        <v>4833.6040000000003</v>
      </c>
      <c r="H53" s="125">
        <f t="shared" si="1"/>
        <v>7824.7090000000007</v>
      </c>
    </row>
    <row r="54" spans="1:8">
      <c r="A54" s="65" t="s">
        <v>59</v>
      </c>
      <c r="B54" s="110">
        <f>24.739/2</f>
        <v>12.3695</v>
      </c>
      <c r="C54" s="110">
        <f>42.269/2</f>
        <v>21.134499999999999</v>
      </c>
      <c r="D54" s="108">
        <v>92.218999999999994</v>
      </c>
      <c r="E54" s="112">
        <f>2.262/2+49.624</f>
        <v>50.755000000000003</v>
      </c>
      <c r="F54" s="108">
        <v>36.186999999999998</v>
      </c>
      <c r="G54" s="108">
        <v>881.12099999999998</v>
      </c>
      <c r="H54" s="108">
        <f>SUM(B54:G54)</f>
        <v>1093.7860000000001</v>
      </c>
    </row>
    <row r="55" spans="1:8">
      <c r="A55" s="65" t="s">
        <v>58</v>
      </c>
      <c r="B55" s="108">
        <f>51.164/2</f>
        <v>25.582000000000001</v>
      </c>
      <c r="C55" s="108">
        <f>23.839/2</f>
        <v>11.919499999999999</v>
      </c>
      <c r="D55" s="108">
        <v>111.28100000000001</v>
      </c>
      <c r="E55" s="112">
        <v>141.75899999999999</v>
      </c>
      <c r="F55" s="108">
        <v>227.61600000000001</v>
      </c>
      <c r="G55" s="108">
        <v>861.49900000000002</v>
      </c>
      <c r="H55" s="108">
        <f>SUM(B55:G55)</f>
        <v>1379.6565000000001</v>
      </c>
    </row>
    <row r="56" spans="1:8">
      <c r="A56" s="124" t="s">
        <v>57</v>
      </c>
      <c r="B56" s="125">
        <f t="shared" ref="B56:H56" si="2">SUM(B54:B55)</f>
        <v>37.951500000000003</v>
      </c>
      <c r="C56" s="125">
        <f t="shared" si="2"/>
        <v>33.054000000000002</v>
      </c>
      <c r="D56" s="125">
        <f t="shared" si="2"/>
        <v>203.5</v>
      </c>
      <c r="E56" s="126">
        <f t="shared" si="2"/>
        <v>192.51399999999998</v>
      </c>
      <c r="F56" s="126">
        <f t="shared" si="2"/>
        <v>263.803</v>
      </c>
      <c r="G56" s="125">
        <f t="shared" si="2"/>
        <v>1742.62</v>
      </c>
      <c r="H56" s="125">
        <f t="shared" si="2"/>
        <v>2473.4425000000001</v>
      </c>
    </row>
    <row r="57" spans="1:8">
      <c r="A57" s="65" t="s">
        <v>56</v>
      </c>
      <c r="B57" s="108">
        <v>0</v>
      </c>
      <c r="C57" s="108">
        <f>34.704/2</f>
        <v>17.352</v>
      </c>
      <c r="D57" s="108">
        <v>91.3</v>
      </c>
      <c r="E57" s="112">
        <v>260.947</v>
      </c>
      <c r="F57" s="108">
        <v>452.04</v>
      </c>
      <c r="G57" s="108">
        <v>1517.8630000000001</v>
      </c>
      <c r="H57" s="108">
        <f>SUM(B57:G57)</f>
        <v>2339.502</v>
      </c>
    </row>
    <row r="58" spans="1:8">
      <c r="A58" s="65" t="s">
        <v>55</v>
      </c>
      <c r="B58" s="108">
        <v>0</v>
      </c>
      <c r="C58" s="108">
        <f>1.14/2</f>
        <v>0.56999999999999995</v>
      </c>
      <c r="D58" s="108">
        <v>319.26900000000001</v>
      </c>
      <c r="E58" s="112">
        <v>454.875</v>
      </c>
      <c r="F58" s="108">
        <v>878.64</v>
      </c>
      <c r="G58" s="108">
        <v>2338.7040000000002</v>
      </c>
      <c r="H58" s="108">
        <f>SUM(B58:G58)</f>
        <v>3992.058</v>
      </c>
    </row>
    <row r="59" spans="1:8">
      <c r="A59" s="65" t="s">
        <v>54</v>
      </c>
      <c r="B59" s="108">
        <f>17.766/2</f>
        <v>8.8829999999999991</v>
      </c>
      <c r="C59" s="108">
        <f>66.686/2</f>
        <v>33.343000000000004</v>
      </c>
      <c r="D59" s="108">
        <v>212.43600000000001</v>
      </c>
      <c r="E59" s="112">
        <v>419.815</v>
      </c>
      <c r="F59" s="108">
        <v>692.00099999999998</v>
      </c>
      <c r="G59" s="108">
        <v>2047.3309999999999</v>
      </c>
      <c r="H59" s="108">
        <f>SUM(B59:G59)</f>
        <v>3413.8090000000002</v>
      </c>
    </row>
    <row r="60" spans="1:8" ht="16" thickBot="1">
      <c r="A60" s="64" t="s">
        <v>53</v>
      </c>
      <c r="B60" s="91">
        <f t="shared" ref="B60:H60" si="3">SUM(B57:B59)</f>
        <v>8.8829999999999991</v>
      </c>
      <c r="C60" s="91">
        <f t="shared" si="3"/>
        <v>51.265000000000001</v>
      </c>
      <c r="D60" s="91">
        <f t="shared" si="3"/>
        <v>623.005</v>
      </c>
      <c r="E60" s="186">
        <f t="shared" si="3"/>
        <v>1135.6369999999999</v>
      </c>
      <c r="F60" s="186">
        <f t="shared" si="3"/>
        <v>2022.681</v>
      </c>
      <c r="G60" s="91">
        <f t="shared" si="3"/>
        <v>5903.8980000000001</v>
      </c>
      <c r="H60" s="91">
        <f t="shared" si="3"/>
        <v>9745.3689999999988</v>
      </c>
    </row>
    <row r="61" spans="1:8" ht="16" thickBot="1">
      <c r="A61" s="94" t="s">
        <v>52</v>
      </c>
      <c r="B61" s="114">
        <f t="shared" ref="B61:H61" si="4">B49+B53+B56+B60</f>
        <v>114.6835</v>
      </c>
      <c r="C61" s="114">
        <f t="shared" si="4"/>
        <v>245.50049999999999</v>
      </c>
      <c r="D61" s="114">
        <f t="shared" si="4"/>
        <v>2055.8249999999998</v>
      </c>
      <c r="E61" s="115">
        <f t="shared" si="4"/>
        <v>2919.0594999999998</v>
      </c>
      <c r="F61" s="114">
        <f t="shared" si="4"/>
        <v>4726.4144999999999</v>
      </c>
      <c r="G61" s="114">
        <f t="shared" si="4"/>
        <v>15771.7</v>
      </c>
      <c r="H61" s="114">
        <f t="shared" si="4"/>
        <v>25833.183000000001</v>
      </c>
    </row>
    <row r="62" spans="1:8">
      <c r="A62" s="22"/>
      <c r="B62" s="67"/>
      <c r="C62" s="67"/>
      <c r="D62" s="67"/>
      <c r="E62" s="67"/>
      <c r="F62" s="67"/>
      <c r="G62" s="67"/>
      <c r="H62" s="111" t="s">
        <v>35</v>
      </c>
    </row>
    <row r="63" spans="1:8">
      <c r="A63" s="22"/>
      <c r="B63" s="67"/>
      <c r="C63" s="67"/>
      <c r="D63" s="67"/>
      <c r="E63" s="67"/>
      <c r="F63" s="67"/>
      <c r="G63" s="67"/>
      <c r="H63" s="100"/>
    </row>
    <row r="64" spans="1:8">
      <c r="A64" s="68">
        <v>2023</v>
      </c>
      <c r="B64" s="67"/>
      <c r="C64" s="67"/>
      <c r="D64" s="67"/>
      <c r="E64" s="67"/>
      <c r="F64" s="67"/>
      <c r="G64" s="67"/>
      <c r="H64" s="100" t="s">
        <v>51</v>
      </c>
    </row>
    <row r="65" spans="1:8" ht="31.5" thickBot="1">
      <c r="A65" s="64" t="s">
        <v>157</v>
      </c>
      <c r="B65" s="64" t="s">
        <v>70</v>
      </c>
      <c r="C65" s="64" t="s">
        <v>92</v>
      </c>
      <c r="D65" s="64" t="s">
        <v>93</v>
      </c>
      <c r="E65" s="64" t="s">
        <v>41</v>
      </c>
      <c r="F65" s="64" t="s">
        <v>40</v>
      </c>
      <c r="G65" s="64" t="s">
        <v>38</v>
      </c>
      <c r="H65" s="64" t="s">
        <v>69</v>
      </c>
    </row>
    <row r="66" spans="1:8">
      <c r="A66" s="104" t="s">
        <v>67</v>
      </c>
      <c r="B66" s="116">
        <f>70.158/2</f>
        <v>35.079000000000001</v>
      </c>
      <c r="C66" s="116">
        <f>57.114/2</f>
        <v>28.556999999999999</v>
      </c>
      <c r="D66" s="116">
        <v>101.02</v>
      </c>
      <c r="E66" s="117">
        <f>1.219/2+(156.371)</f>
        <v>156.98050000000001</v>
      </c>
      <c r="F66" s="116">
        <f>0.559/2+(238.066)</f>
        <v>238.34550000000002</v>
      </c>
      <c r="G66" s="116">
        <v>828.75300000000004</v>
      </c>
      <c r="H66" s="118">
        <f>SUM(B66:G66)</f>
        <v>1388.7350000000001</v>
      </c>
    </row>
    <row r="67" spans="1:8">
      <c r="A67" s="105" t="s">
        <v>66</v>
      </c>
      <c r="B67" s="118">
        <v>0</v>
      </c>
      <c r="C67" s="118">
        <f>17.529/2</f>
        <v>8.7645</v>
      </c>
      <c r="D67" s="118">
        <v>287.72199999999998</v>
      </c>
      <c r="E67" s="119">
        <v>453.69400000000002</v>
      </c>
      <c r="F67" s="118">
        <v>445.93700000000001</v>
      </c>
      <c r="G67" s="118">
        <v>1452.3009999999999</v>
      </c>
      <c r="H67" s="118">
        <f t="shared" ref="H67:H68" si="5">SUM(B67:G67)</f>
        <v>2648.4184999999998</v>
      </c>
    </row>
    <row r="68" spans="1:8">
      <c r="A68" s="105" t="s">
        <v>65</v>
      </c>
      <c r="B68" s="118">
        <f>14.6/2</f>
        <v>7.3</v>
      </c>
      <c r="C68" s="118">
        <f>76.008/2</f>
        <v>38.003999999999998</v>
      </c>
      <c r="D68" s="118">
        <v>152.37700000000001</v>
      </c>
      <c r="E68" s="119">
        <f>0.035/2+(235.827)</f>
        <v>235.84450000000001</v>
      </c>
      <c r="F68" s="118">
        <v>308.577</v>
      </c>
      <c r="G68" s="118">
        <f>0.328/2+(1015.997)</f>
        <v>1016.1609999999999</v>
      </c>
      <c r="H68" s="118">
        <f t="shared" si="5"/>
        <v>1758.2635</v>
      </c>
    </row>
    <row r="69" spans="1:8">
      <c r="A69" s="106" t="s">
        <v>64</v>
      </c>
      <c r="B69" s="120">
        <f>SUM(B66:B68)</f>
        <v>42.378999999999998</v>
      </c>
      <c r="C69" s="120">
        <f t="shared" ref="C69:H69" si="6">SUM(C66:C68)</f>
        <v>75.325500000000005</v>
      </c>
      <c r="D69" s="120">
        <f t="shared" si="6"/>
        <v>541.11899999999991</v>
      </c>
      <c r="E69" s="113">
        <f t="shared" si="6"/>
        <v>846.51900000000012</v>
      </c>
      <c r="F69" s="113">
        <f t="shared" si="6"/>
        <v>992.85950000000003</v>
      </c>
      <c r="G69" s="109">
        <f t="shared" si="6"/>
        <v>3297.2150000000001</v>
      </c>
      <c r="H69" s="120">
        <f t="shared" si="6"/>
        <v>5795.4169999999995</v>
      </c>
    </row>
    <row r="70" spans="1:8">
      <c r="A70" s="104" t="s">
        <v>63</v>
      </c>
      <c r="B70" s="116">
        <v>0</v>
      </c>
      <c r="C70" s="116">
        <f>52.778/2</f>
        <v>26.388999999999999</v>
      </c>
      <c r="D70" s="116">
        <v>136.31399999999999</v>
      </c>
      <c r="E70" s="117">
        <f>0.157/2+57.711</f>
        <v>57.789499999999997</v>
      </c>
      <c r="F70" s="116">
        <f>1.704/2+(163.987)</f>
        <v>164.839</v>
      </c>
      <c r="G70" s="116">
        <v>787.24599999999998</v>
      </c>
      <c r="H70" s="116">
        <f>SUM(B70:G70)</f>
        <v>1172.5774999999999</v>
      </c>
    </row>
    <row r="71" spans="1:8">
      <c r="A71" s="105" t="s">
        <v>62</v>
      </c>
      <c r="B71" s="118">
        <f>50.94/2</f>
        <v>25.47</v>
      </c>
      <c r="C71" s="118">
        <f>59.826/2</f>
        <v>29.913</v>
      </c>
      <c r="D71" s="118">
        <v>231.73099999999999</v>
      </c>
      <c r="E71" s="119">
        <v>396.59500000000003</v>
      </c>
      <c r="F71" s="118">
        <v>677.4</v>
      </c>
      <c r="G71" s="118">
        <v>2224.924</v>
      </c>
      <c r="H71" s="118">
        <f t="shared" ref="H71:H72" si="7">SUM(B71:G71)</f>
        <v>3586.0329999999999</v>
      </c>
    </row>
    <row r="72" spans="1:8">
      <c r="A72" s="105" t="s">
        <v>61</v>
      </c>
      <c r="B72" s="118">
        <v>0</v>
      </c>
      <c r="C72" s="118">
        <f>57.799/2</f>
        <v>28.8995</v>
      </c>
      <c r="D72" s="118">
        <v>321.65499999999997</v>
      </c>
      <c r="E72" s="119">
        <v>290.005</v>
      </c>
      <c r="F72" s="118">
        <v>604.298</v>
      </c>
      <c r="G72" s="118">
        <f>1.568/2+(1832.626)</f>
        <v>1833.41</v>
      </c>
      <c r="H72" s="118">
        <f t="shared" si="7"/>
        <v>3078.2674999999999</v>
      </c>
    </row>
    <row r="73" spans="1:8">
      <c r="A73" s="106" t="s">
        <v>60</v>
      </c>
      <c r="B73" s="120">
        <f>SUM(B70:B72)</f>
        <v>25.47</v>
      </c>
      <c r="C73" s="120">
        <f t="shared" ref="C73:H73" si="8">SUM(C70:C72)</f>
        <v>85.201499999999996</v>
      </c>
      <c r="D73" s="120">
        <f t="shared" si="8"/>
        <v>689.69999999999993</v>
      </c>
      <c r="E73" s="121">
        <f t="shared" si="8"/>
        <v>744.3895</v>
      </c>
      <c r="F73" s="121">
        <f t="shared" si="8"/>
        <v>1446.537</v>
      </c>
      <c r="G73" s="109">
        <f t="shared" si="8"/>
        <v>4845.58</v>
      </c>
      <c r="H73" s="122">
        <f t="shared" si="8"/>
        <v>7836.8779999999997</v>
      </c>
    </row>
    <row r="74" spans="1:8">
      <c r="A74" s="104" t="s">
        <v>59</v>
      </c>
      <c r="B74" s="123">
        <f>24.739/2</f>
        <v>12.3695</v>
      </c>
      <c r="C74" s="123">
        <f>42.269/2</f>
        <v>21.134499999999999</v>
      </c>
      <c r="D74" s="116">
        <v>92.305000000000007</v>
      </c>
      <c r="E74" s="117">
        <f>2.262/2+49.624</f>
        <v>50.755000000000003</v>
      </c>
      <c r="F74" s="116">
        <v>36.186999999999998</v>
      </c>
      <c r="G74" s="116">
        <v>880.87300000000005</v>
      </c>
      <c r="H74" s="118">
        <f>SUM(B74:G74)</f>
        <v>1093.624</v>
      </c>
    </row>
    <row r="75" spans="1:8">
      <c r="A75" s="105" t="s">
        <v>58</v>
      </c>
      <c r="B75" s="118">
        <f>51.164/2</f>
        <v>25.582000000000001</v>
      </c>
      <c r="C75" s="118">
        <f>23.839/2</f>
        <v>11.919499999999999</v>
      </c>
      <c r="D75" s="118">
        <v>111.28100000000001</v>
      </c>
      <c r="E75" s="119">
        <v>141.75899999999999</v>
      </c>
      <c r="F75" s="118">
        <v>227.61600000000001</v>
      </c>
      <c r="G75" s="118">
        <v>864.19100000000003</v>
      </c>
      <c r="H75" s="118">
        <f>SUM(B75:G75)</f>
        <v>1382.3485000000001</v>
      </c>
    </row>
    <row r="76" spans="1:8">
      <c r="A76" s="106" t="s">
        <v>57</v>
      </c>
      <c r="B76" s="120">
        <f>SUM(B74:B75)</f>
        <v>37.951500000000003</v>
      </c>
      <c r="C76" s="120">
        <f t="shared" ref="C76:H76" si="9">SUM(C74:C75)</f>
        <v>33.054000000000002</v>
      </c>
      <c r="D76" s="120">
        <f t="shared" si="9"/>
        <v>203.58600000000001</v>
      </c>
      <c r="E76" s="121">
        <f t="shared" si="9"/>
        <v>192.51399999999998</v>
      </c>
      <c r="F76" s="121">
        <f t="shared" si="9"/>
        <v>263.803</v>
      </c>
      <c r="G76" s="109">
        <f t="shared" si="9"/>
        <v>1745.0640000000001</v>
      </c>
      <c r="H76" s="120">
        <f t="shared" si="9"/>
        <v>2475.9724999999999</v>
      </c>
    </row>
    <row r="77" spans="1:8">
      <c r="A77" s="104" t="s">
        <v>56</v>
      </c>
      <c r="B77" s="116">
        <v>0</v>
      </c>
      <c r="C77" s="116">
        <f>34.704/2</f>
        <v>17.352</v>
      </c>
      <c r="D77" s="116">
        <v>91.3</v>
      </c>
      <c r="E77" s="117">
        <v>257.60300000000001</v>
      </c>
      <c r="F77" s="116">
        <v>452.04</v>
      </c>
      <c r="G77" s="116">
        <v>1521.327</v>
      </c>
      <c r="H77" s="116">
        <f>SUM(B77:G77)</f>
        <v>2339.6220000000003</v>
      </c>
    </row>
    <row r="78" spans="1:8">
      <c r="A78" s="105" t="s">
        <v>55</v>
      </c>
      <c r="B78" s="118">
        <v>0</v>
      </c>
      <c r="C78" s="118">
        <f>1.14/2</f>
        <v>0.56999999999999995</v>
      </c>
      <c r="D78" s="118">
        <v>319.26900000000001</v>
      </c>
      <c r="E78" s="119">
        <v>454.12400000000002</v>
      </c>
      <c r="F78" s="118">
        <v>878.64</v>
      </c>
      <c r="G78" s="118">
        <v>2341.9059999999999</v>
      </c>
      <c r="H78" s="118">
        <f t="shared" ref="H78:H79" si="10">SUM(B78:G78)</f>
        <v>3994.509</v>
      </c>
    </row>
    <row r="79" spans="1:8">
      <c r="A79" s="105" t="s">
        <v>54</v>
      </c>
      <c r="B79" s="118">
        <f>17.766/2</f>
        <v>8.8829999999999991</v>
      </c>
      <c r="C79" s="118">
        <f>66.686/2</f>
        <v>33.343000000000004</v>
      </c>
      <c r="D79" s="118">
        <v>212.43600000000001</v>
      </c>
      <c r="E79" s="119">
        <v>419.815</v>
      </c>
      <c r="F79" s="118">
        <v>692.00099999999998</v>
      </c>
      <c r="G79" s="118">
        <v>2049.623</v>
      </c>
      <c r="H79" s="118">
        <f t="shared" si="10"/>
        <v>3416.1010000000001</v>
      </c>
    </row>
    <row r="80" spans="1:8" ht="16" thickBot="1">
      <c r="A80" s="183" t="s">
        <v>53</v>
      </c>
      <c r="B80" s="184">
        <f>SUM(B77:B79)</f>
        <v>8.8829999999999991</v>
      </c>
      <c r="C80" s="184">
        <f t="shared" ref="C80:H80" si="11">SUM(C77:C79)</f>
        <v>51.265000000000001</v>
      </c>
      <c r="D80" s="184">
        <f t="shared" si="11"/>
        <v>623.005</v>
      </c>
      <c r="E80" s="185">
        <f t="shared" si="11"/>
        <v>1131.5420000000001</v>
      </c>
      <c r="F80" s="185">
        <f t="shared" si="11"/>
        <v>2022.681</v>
      </c>
      <c r="G80" s="184">
        <f t="shared" si="11"/>
        <v>5912.8559999999998</v>
      </c>
      <c r="H80" s="184">
        <f t="shared" si="11"/>
        <v>9750.232</v>
      </c>
    </row>
    <row r="81" spans="1:8" ht="16" thickBot="1">
      <c r="A81" s="181" t="s">
        <v>52</v>
      </c>
      <c r="B81" s="176">
        <f>B69+B73+B76+B80</f>
        <v>114.6835</v>
      </c>
      <c r="C81" s="176">
        <f t="shared" ref="C81:F81" si="12">C69+C73+C76+C80</f>
        <v>244.846</v>
      </c>
      <c r="D81" s="176">
        <f t="shared" si="12"/>
        <v>2057.41</v>
      </c>
      <c r="E81" s="182">
        <f t="shared" si="12"/>
        <v>2914.9645</v>
      </c>
      <c r="F81" s="176">
        <f t="shared" si="12"/>
        <v>4725.8804999999993</v>
      </c>
      <c r="G81" s="176">
        <f>G69+G73+G76+G80</f>
        <v>15800.715</v>
      </c>
      <c r="H81" s="176">
        <f>H69+H73+H76+H80</f>
        <v>25858.499499999998</v>
      </c>
    </row>
    <row r="82" spans="1:8">
      <c r="A82" s="22"/>
      <c r="B82" s="67"/>
      <c r="C82" s="67"/>
      <c r="D82" s="67"/>
      <c r="E82" s="67"/>
      <c r="F82" s="67"/>
      <c r="G82" s="67"/>
      <c r="H82" s="111" t="s">
        <v>35</v>
      </c>
    </row>
  </sheetData>
  <hyperlinks>
    <hyperlink ref="A2" location="'Notes and Definitions'!A2" display="Notes and Definitions for the table below " xr:uid="{8455E26C-5A3D-4166-A781-F4136774211D}"/>
  </hyperlinks>
  <pageMargins left="0.7" right="0.7" top="0.75" bottom="0.75" header="0.3" footer="0.3"/>
  <pageSetup orientation="portrait" horizontalDpi="1200" verticalDpi="1200"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17"/>
  <sheetViews>
    <sheetView workbookViewId="0">
      <selection activeCell="B4" sqref="B4:M4"/>
    </sheetView>
  </sheetViews>
  <sheetFormatPr defaultColWidth="10.81640625" defaultRowHeight="14.5"/>
  <cols>
    <col min="1" max="1" width="28.54296875" style="1" customWidth="1"/>
    <col min="2" max="4" width="12.54296875" style="1" customWidth="1"/>
    <col min="5" max="16384" width="10.81640625" style="1"/>
  </cols>
  <sheetData>
    <row r="1" spans="1:13" s="9" customFormat="1" ht="18.5">
      <c r="A1" s="38" t="s">
        <v>95</v>
      </c>
      <c r="B1" s="39"/>
      <c r="C1" s="39"/>
      <c r="D1" s="39"/>
    </row>
    <row r="2" spans="1:13" s="9" customFormat="1" ht="15.5">
      <c r="A2" s="62" t="s">
        <v>27</v>
      </c>
      <c r="B2" s="10"/>
      <c r="C2" s="10"/>
      <c r="D2" s="10"/>
    </row>
    <row r="3" spans="1:13" s="9" customFormat="1" ht="15.5">
      <c r="A3" s="60"/>
      <c r="B3" s="10"/>
      <c r="C3" s="188" t="s">
        <v>0</v>
      </c>
      <c r="D3" s="188"/>
      <c r="E3" s="189"/>
      <c r="F3" s="189" t="s">
        <v>19</v>
      </c>
      <c r="G3" s="189"/>
      <c r="H3" s="189"/>
      <c r="I3" s="189" t="s">
        <v>31</v>
      </c>
      <c r="J3" s="189"/>
      <c r="K3" s="189"/>
      <c r="L3" s="189" t="s">
        <v>33</v>
      </c>
    </row>
    <row r="4" spans="1:13" s="8" customFormat="1" ht="19" customHeight="1" thickBot="1">
      <c r="A4" s="144" t="s">
        <v>102</v>
      </c>
      <c r="B4" s="142" t="s">
        <v>96</v>
      </c>
      <c r="C4" s="143" t="s">
        <v>97</v>
      </c>
      <c r="D4" s="69" t="s">
        <v>98</v>
      </c>
      <c r="E4" s="142" t="s">
        <v>96</v>
      </c>
      <c r="F4" s="143" t="s">
        <v>97</v>
      </c>
      <c r="G4" s="69" t="s">
        <v>98</v>
      </c>
      <c r="H4" s="142" t="s">
        <v>96</v>
      </c>
      <c r="I4" s="143" t="s">
        <v>97</v>
      </c>
      <c r="J4" s="69" t="s">
        <v>98</v>
      </c>
      <c r="K4" s="142" t="s">
        <v>96</v>
      </c>
      <c r="L4" s="143" t="s">
        <v>97</v>
      </c>
      <c r="M4" s="69" t="s">
        <v>98</v>
      </c>
    </row>
    <row r="5" spans="1:13" s="8" customFormat="1" ht="15" customHeight="1">
      <c r="A5" s="206" t="s">
        <v>100</v>
      </c>
      <c r="B5" s="155">
        <v>0.80900000000000005</v>
      </c>
      <c r="C5" s="153">
        <v>0.72599999999999998</v>
      </c>
      <c r="D5" s="154">
        <v>0.628</v>
      </c>
      <c r="E5" s="155">
        <v>0.81399999999999995</v>
      </c>
      <c r="F5" s="153">
        <v>0.73099999999999998</v>
      </c>
      <c r="G5" s="154">
        <v>0.63</v>
      </c>
      <c r="H5" s="155">
        <v>0.82699999999999996</v>
      </c>
      <c r="I5" s="153">
        <v>0.73399999999999999</v>
      </c>
      <c r="J5" s="154">
        <v>0.63500000000000001</v>
      </c>
      <c r="K5" s="155">
        <v>0.82599999999999996</v>
      </c>
      <c r="L5" s="153">
        <v>0.746</v>
      </c>
      <c r="M5" s="154">
        <v>0.64800000000000002</v>
      </c>
    </row>
    <row r="6" spans="1:13" s="8" customFormat="1" ht="19" customHeight="1">
      <c r="A6" s="35" t="s">
        <v>101</v>
      </c>
      <c r="B6" s="155">
        <v>0.16700000000000001</v>
      </c>
      <c r="C6" s="153">
        <v>0.23799999999999999</v>
      </c>
      <c r="D6" s="154">
        <v>0.31900000000000001</v>
      </c>
      <c r="E6" s="155">
        <v>0.16300000000000001</v>
      </c>
      <c r="F6" s="153">
        <v>0.23499999999999999</v>
      </c>
      <c r="G6" s="154">
        <v>0.31900000000000001</v>
      </c>
      <c r="H6" s="155">
        <v>0.153</v>
      </c>
      <c r="I6" s="153">
        <v>0.23300000000000001</v>
      </c>
      <c r="J6" s="154">
        <v>0.315</v>
      </c>
      <c r="K6" s="155">
        <v>0.154</v>
      </c>
      <c r="L6" s="153">
        <v>0.224</v>
      </c>
      <c r="M6" s="154">
        <v>0.31</v>
      </c>
    </row>
    <row r="7" spans="1:13" s="8" customFormat="1" ht="19" customHeight="1">
      <c r="A7" s="35" t="s">
        <v>99</v>
      </c>
      <c r="B7" s="155">
        <v>2.4E-2</v>
      </c>
      <c r="C7" s="153">
        <v>3.5999999999999997E-2</v>
      </c>
      <c r="D7" s="154">
        <v>5.2999999999999999E-2</v>
      </c>
      <c r="E7" s="155">
        <v>2.1999999999999999E-2</v>
      </c>
      <c r="F7" s="190">
        <v>3.4000000000000002E-2</v>
      </c>
      <c r="G7" s="191">
        <v>5.0999999999999997E-2</v>
      </c>
      <c r="H7" s="192">
        <v>1.9E-2</v>
      </c>
      <c r="I7" s="190">
        <v>3.3000000000000002E-2</v>
      </c>
      <c r="J7" s="191">
        <v>0.05</v>
      </c>
      <c r="K7" s="192">
        <v>0.02</v>
      </c>
      <c r="L7" s="190">
        <v>3.1E-2</v>
      </c>
      <c r="M7" s="191">
        <v>4.2999999999999997E-2</v>
      </c>
    </row>
    <row r="8" spans="1:13" s="8" customFormat="1" ht="15" customHeight="1">
      <c r="A8" s="43"/>
      <c r="B8" s="128"/>
      <c r="C8" s="33"/>
      <c r="D8" s="33"/>
      <c r="M8" s="164" t="s">
        <v>35</v>
      </c>
    </row>
    <row r="9" spans="1:13" s="8" customFormat="1" ht="15.65" customHeight="1">
      <c r="A9" s="43"/>
      <c r="B9" s="33"/>
      <c r="C9" s="33"/>
      <c r="D9" s="33"/>
    </row>
    <row r="10" spans="1:13" s="8" customFormat="1" ht="15.65" customHeight="1">
      <c r="A10" s="43"/>
      <c r="B10" s="33"/>
      <c r="C10" s="33"/>
      <c r="D10" s="33"/>
    </row>
    <row r="11" spans="1:13" s="8" customFormat="1" ht="17.5" customHeight="1">
      <c r="A11" s="43"/>
      <c r="B11" s="33"/>
      <c r="C11" s="33"/>
      <c r="D11" s="33"/>
    </row>
    <row r="12" spans="1:13" s="8" customFormat="1" ht="17.5" customHeight="1">
      <c r="A12" s="43"/>
      <c r="B12" s="33"/>
      <c r="C12" s="33"/>
      <c r="D12" s="33"/>
    </row>
    <row r="13" spans="1:13" s="8" customFormat="1" ht="19" customHeight="1">
      <c r="A13" s="43"/>
      <c r="B13" s="33"/>
      <c r="C13" s="33"/>
      <c r="D13" s="33"/>
    </row>
    <row r="14" spans="1:13" s="8" customFormat="1" ht="19.5" customHeight="1">
      <c r="A14" s="43"/>
      <c r="B14" s="34"/>
      <c r="C14" s="34"/>
      <c r="D14" s="33"/>
    </row>
    <row r="15" spans="1:13" s="8" customFormat="1" ht="16.399999999999999" customHeight="1">
      <c r="A15" s="43"/>
      <c r="B15" s="33"/>
      <c r="C15" s="33"/>
      <c r="D15" s="33"/>
    </row>
    <row r="16" spans="1:13" s="8" customFormat="1" ht="15" customHeight="1">
      <c r="A16" s="33"/>
      <c r="B16" s="33"/>
      <c r="C16" s="33"/>
      <c r="D16" s="3"/>
    </row>
    <row r="17" s="13" customFormat="1" ht="12.5"/>
  </sheetData>
  <hyperlinks>
    <hyperlink ref="A2" location="'Notes and Definitions'!A2" display="Notes and Definitions for the table below "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E9"/>
  <sheetViews>
    <sheetView workbookViewId="0"/>
  </sheetViews>
  <sheetFormatPr defaultColWidth="8.81640625" defaultRowHeight="14.5"/>
  <cols>
    <col min="1" max="1" width="28.54296875" style="1" customWidth="1"/>
    <col min="2" max="2" width="17.26953125" style="1" customWidth="1"/>
    <col min="3" max="3" width="13.1796875" style="1" customWidth="1"/>
    <col min="4" max="4" width="12.7265625" style="1" customWidth="1"/>
    <col min="5" max="5" width="20.1796875" style="1" customWidth="1"/>
    <col min="6" max="6" width="9.453125" style="1" customWidth="1"/>
    <col min="7" max="9" width="8.81640625" style="1"/>
    <col min="10" max="10" width="36.453125" style="1" customWidth="1"/>
    <col min="11" max="16384" width="8.81640625" style="1"/>
  </cols>
  <sheetData>
    <row r="1" spans="1:5" ht="15.5">
      <c r="A1" s="38" t="s">
        <v>168</v>
      </c>
    </row>
    <row r="2" spans="1:5" ht="15.5">
      <c r="A2" s="62" t="s">
        <v>27</v>
      </c>
    </row>
    <row r="3" spans="1:5" ht="16" thickBot="1">
      <c r="A3" s="60"/>
    </row>
    <row r="4" spans="1:5" ht="31.5" thickBot="1">
      <c r="A4" s="207" t="s">
        <v>30</v>
      </c>
      <c r="B4" s="141" t="s">
        <v>133</v>
      </c>
      <c r="C4" s="141" t="s">
        <v>103</v>
      </c>
      <c r="D4" s="141" t="s">
        <v>43</v>
      </c>
      <c r="E4" s="141" t="s">
        <v>104</v>
      </c>
    </row>
    <row r="5" spans="1:5" ht="15.5">
      <c r="A5" s="206" t="s">
        <v>0</v>
      </c>
      <c r="B5" s="129">
        <v>0.94099999999999995</v>
      </c>
      <c r="C5" s="129">
        <v>0.91300000000000003</v>
      </c>
      <c r="D5" s="129">
        <v>0.89600000000000002</v>
      </c>
      <c r="E5" s="129">
        <v>0.93400000000000005</v>
      </c>
    </row>
    <row r="6" spans="1:5" ht="15.5">
      <c r="A6" s="35" t="s">
        <v>19</v>
      </c>
      <c r="B6" s="129">
        <v>0.93899999999999995</v>
      </c>
      <c r="C6" s="129">
        <v>0.93799999999999994</v>
      </c>
      <c r="D6" s="129">
        <v>0.89700000000000002</v>
      </c>
      <c r="E6" s="129">
        <v>0.93200000000000005</v>
      </c>
    </row>
    <row r="7" spans="1:5" ht="15.5">
      <c r="A7" s="35" t="s">
        <v>31</v>
      </c>
      <c r="B7" s="129">
        <v>0.95099999999999996</v>
      </c>
      <c r="C7" s="129">
        <v>0.92700000000000005</v>
      </c>
      <c r="D7" s="129">
        <v>0.91400000000000003</v>
      </c>
      <c r="E7" s="129">
        <v>0.94599999999999995</v>
      </c>
    </row>
    <row r="8" spans="1:5" ht="15.5">
      <c r="A8" s="35" t="s">
        <v>33</v>
      </c>
      <c r="B8" s="129">
        <v>0.94399999999999995</v>
      </c>
      <c r="C8" s="129">
        <v>0.92200000000000004</v>
      </c>
      <c r="D8" s="129">
        <v>0.90600000000000003</v>
      </c>
      <c r="E8" s="129">
        <v>0.93799999999999994</v>
      </c>
    </row>
    <row r="9" spans="1:5">
      <c r="E9" s="1" t="s">
        <v>35</v>
      </c>
    </row>
  </sheetData>
  <hyperlinks>
    <hyperlink ref="A2" location="'Notes and Definitions'!A2" display="Notes and Definitions for the table below " xr:uid="{5B328B79-F42B-4157-9A56-9EDE8910263A}"/>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workbookViewId="0"/>
  </sheetViews>
  <sheetFormatPr defaultColWidth="13.54296875" defaultRowHeight="15.65" customHeight="1"/>
  <cols>
    <col min="1" max="1" width="26.1796875" style="1" customWidth="1"/>
    <col min="2" max="4" width="12.54296875" style="1" customWidth="1"/>
    <col min="5" max="16384" width="13.54296875" style="1"/>
  </cols>
  <sheetData>
    <row r="1" spans="1:5" ht="15.65" customHeight="1">
      <c r="A1" s="38" t="s">
        <v>105</v>
      </c>
    </row>
    <row r="2" spans="1:5" ht="15.65" customHeight="1">
      <c r="A2" s="62" t="s">
        <v>27</v>
      </c>
      <c r="B2" s="35"/>
      <c r="C2" s="50"/>
      <c r="D2" s="35"/>
    </row>
    <row r="3" spans="1:5" ht="15.65" customHeight="1" thickBot="1">
      <c r="A3" s="35"/>
      <c r="B3" s="35"/>
      <c r="C3" s="35"/>
      <c r="D3" s="35"/>
      <c r="E3" s="35"/>
    </row>
    <row r="4" spans="1:5" ht="15.65" customHeight="1" thickBot="1">
      <c r="A4" s="193" t="s">
        <v>108</v>
      </c>
      <c r="B4" s="139" t="s">
        <v>0</v>
      </c>
      <c r="C4" s="140" t="s">
        <v>19</v>
      </c>
      <c r="D4" s="140" t="s">
        <v>31</v>
      </c>
      <c r="E4" s="140" t="s">
        <v>33</v>
      </c>
    </row>
    <row r="5" spans="1:5" ht="15.65" customHeight="1">
      <c r="A5" s="194" t="s">
        <v>106</v>
      </c>
      <c r="B5" s="138">
        <v>104097</v>
      </c>
      <c r="C5" s="138">
        <v>93618</v>
      </c>
      <c r="D5" s="138">
        <v>102594</v>
      </c>
      <c r="E5" s="138">
        <v>100487</v>
      </c>
    </row>
    <row r="6" spans="1:5" ht="15.65" customHeight="1">
      <c r="A6" s="195" t="s">
        <v>107</v>
      </c>
      <c r="B6" s="138">
        <v>97411</v>
      </c>
      <c r="C6" s="138">
        <v>84809</v>
      </c>
      <c r="D6" s="138">
        <v>93479</v>
      </c>
      <c r="E6" s="138">
        <v>84900</v>
      </c>
    </row>
  </sheetData>
  <hyperlinks>
    <hyperlink ref="A2" location="'Notes and Definitions'!A2" display="Notes and Definitions for the table below " xr:uid="{00000000-0004-0000-0800-000000000000}"/>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5"/>
  <sheetViews>
    <sheetView workbookViewId="0"/>
  </sheetViews>
  <sheetFormatPr defaultColWidth="8.7265625" defaultRowHeight="14.5"/>
  <cols>
    <col min="1" max="1" width="40.26953125" style="1" customWidth="1"/>
    <col min="2" max="5" width="12.54296875" style="1" customWidth="1"/>
    <col min="6" max="6" width="10.26953125" style="1" customWidth="1"/>
    <col min="7" max="16384" width="8.7265625" style="1"/>
  </cols>
  <sheetData>
    <row r="1" spans="1:8" ht="15.5">
      <c r="A1" s="38" t="s">
        <v>169</v>
      </c>
      <c r="B1" s="38"/>
      <c r="C1" s="38"/>
      <c r="D1" s="38"/>
      <c r="E1" s="38"/>
      <c r="F1" s="38"/>
      <c r="G1" s="2"/>
      <c r="H1" s="2"/>
    </row>
    <row r="2" spans="1:8" ht="15.5">
      <c r="A2" s="62" t="s">
        <v>27</v>
      </c>
      <c r="B2" s="6"/>
      <c r="C2" s="2"/>
      <c r="D2" s="4"/>
      <c r="E2" s="6"/>
      <c r="F2" s="6"/>
      <c r="G2" s="2"/>
      <c r="H2" s="2"/>
    </row>
    <row r="3" spans="1:8" ht="15.5">
      <c r="A3" s="60"/>
      <c r="B3" s="6"/>
      <c r="C3" s="2"/>
      <c r="D3" s="4"/>
      <c r="E3" s="4"/>
      <c r="F3" s="6"/>
      <c r="G3" s="2"/>
      <c r="H3" s="2"/>
    </row>
    <row r="4" spans="1:8" ht="16" thickBot="1">
      <c r="A4" s="137" t="s">
        <v>109</v>
      </c>
      <c r="B4" s="137" t="s">
        <v>0</v>
      </c>
      <c r="C4" s="137" t="s">
        <v>19</v>
      </c>
      <c r="D4" s="137" t="s">
        <v>31</v>
      </c>
      <c r="E4" s="137" t="s">
        <v>33</v>
      </c>
      <c r="F4" s="59"/>
      <c r="G4" s="2"/>
      <c r="H4" s="2"/>
    </row>
    <row r="5" spans="1:8" ht="15.5">
      <c r="A5" s="136" t="s">
        <v>67</v>
      </c>
      <c r="B5" s="166">
        <v>4433</v>
      </c>
      <c r="C5" s="166">
        <v>5791</v>
      </c>
      <c r="D5" s="166">
        <v>5822</v>
      </c>
      <c r="E5" s="166">
        <v>7167</v>
      </c>
      <c r="F5" s="45"/>
      <c r="G5" s="2"/>
      <c r="H5" s="2"/>
    </row>
    <row r="6" spans="1:8" ht="15.5">
      <c r="A6" s="136" t="s">
        <v>63</v>
      </c>
      <c r="B6" s="166">
        <v>4271</v>
      </c>
      <c r="C6" s="166">
        <v>3935</v>
      </c>
      <c r="D6" s="166">
        <v>4220</v>
      </c>
      <c r="E6" s="166">
        <v>4216</v>
      </c>
      <c r="F6" s="45"/>
      <c r="G6" s="36"/>
      <c r="H6" s="2"/>
    </row>
    <row r="7" spans="1:8" ht="15.5">
      <c r="A7" s="136" t="s">
        <v>62</v>
      </c>
      <c r="B7" s="166">
        <v>16359</v>
      </c>
      <c r="C7" s="166">
        <v>12894</v>
      </c>
      <c r="D7" s="166">
        <v>14141</v>
      </c>
      <c r="E7" s="166">
        <v>14985</v>
      </c>
      <c r="F7" s="45"/>
      <c r="G7" s="2"/>
      <c r="H7" s="2"/>
    </row>
    <row r="8" spans="1:8" ht="15.5">
      <c r="A8" s="136" t="s">
        <v>59</v>
      </c>
      <c r="B8" s="166">
        <v>5618</v>
      </c>
      <c r="C8" s="166">
        <v>5431</v>
      </c>
      <c r="D8" s="166">
        <v>5322</v>
      </c>
      <c r="E8" s="166">
        <v>6198</v>
      </c>
      <c r="F8" s="46"/>
      <c r="G8" s="2"/>
      <c r="H8" s="2"/>
    </row>
    <row r="9" spans="1:8" ht="15.5">
      <c r="A9" s="136" t="s">
        <v>66</v>
      </c>
      <c r="B9" s="166">
        <v>8409</v>
      </c>
      <c r="C9" s="166">
        <v>8284</v>
      </c>
      <c r="D9" s="166">
        <v>6566</v>
      </c>
      <c r="E9" s="166">
        <v>5429</v>
      </c>
      <c r="F9" s="46"/>
      <c r="G9" s="2"/>
      <c r="H9" s="2"/>
    </row>
    <row r="10" spans="1:8" ht="15.5">
      <c r="A10" s="136" t="s">
        <v>56</v>
      </c>
      <c r="B10" s="166">
        <v>7526</v>
      </c>
      <c r="C10" s="166">
        <v>8478</v>
      </c>
      <c r="D10" s="166">
        <v>14563</v>
      </c>
      <c r="E10" s="166">
        <v>11455</v>
      </c>
      <c r="F10" s="6"/>
      <c r="G10" s="2"/>
      <c r="H10" s="2"/>
    </row>
    <row r="11" spans="1:8" ht="15.5">
      <c r="A11" s="136" t="s">
        <v>55</v>
      </c>
      <c r="B11" s="166">
        <v>11152</v>
      </c>
      <c r="C11" s="166">
        <v>10843</v>
      </c>
      <c r="D11" s="166">
        <v>8523</v>
      </c>
      <c r="E11" s="166">
        <v>8255</v>
      </c>
      <c r="G11" s="2"/>
      <c r="H11" s="2"/>
    </row>
    <row r="12" spans="1:8" ht="15.5">
      <c r="A12" s="136" t="s">
        <v>58</v>
      </c>
      <c r="B12" s="166">
        <v>5175</v>
      </c>
      <c r="C12" s="166">
        <v>5630</v>
      </c>
      <c r="D12" s="166">
        <v>4587</v>
      </c>
      <c r="E12" s="166">
        <v>3533</v>
      </c>
      <c r="F12" s="5"/>
      <c r="G12" s="2"/>
      <c r="H12" s="2"/>
    </row>
    <row r="13" spans="1:8" ht="15.5">
      <c r="A13" s="136" t="s">
        <v>65</v>
      </c>
      <c r="B13" s="166">
        <v>7945</v>
      </c>
      <c r="C13" s="166">
        <v>7430</v>
      </c>
      <c r="D13" s="166">
        <v>7450</v>
      </c>
      <c r="E13" s="166">
        <v>6765</v>
      </c>
    </row>
    <row r="14" spans="1:8" ht="15.5">
      <c r="A14" s="136" t="s">
        <v>54</v>
      </c>
      <c r="B14" s="166">
        <v>11769</v>
      </c>
      <c r="C14" s="166">
        <v>12157</v>
      </c>
      <c r="D14" s="166">
        <v>12821</v>
      </c>
      <c r="E14" s="166">
        <v>12479</v>
      </c>
    </row>
    <row r="15" spans="1:8" ht="15.5">
      <c r="A15" s="136" t="s">
        <v>61</v>
      </c>
      <c r="B15" s="196">
        <v>21440</v>
      </c>
      <c r="C15" s="196">
        <v>12745</v>
      </c>
      <c r="D15" s="196">
        <v>18579</v>
      </c>
      <c r="E15" s="196">
        <v>20005</v>
      </c>
    </row>
  </sheetData>
  <hyperlinks>
    <hyperlink ref="A2" location="'Notes and Definitions'!A2" display="Notes and Definitions for the table below " xr:uid="{00000000-0004-0000-0A00-000000000000}"/>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5"/>
  <sheetViews>
    <sheetView workbookViewId="0"/>
  </sheetViews>
  <sheetFormatPr defaultColWidth="8.81640625" defaultRowHeight="14.5"/>
  <cols>
    <col min="1" max="1" width="36.453125" style="1" customWidth="1"/>
    <col min="2" max="4" width="12.54296875" style="1" customWidth="1"/>
    <col min="5" max="6" width="11.1796875" style="1" customWidth="1"/>
    <col min="7" max="16384" width="8.81640625" style="1"/>
  </cols>
  <sheetData>
    <row r="1" spans="1:9" s="9" customFormat="1" ht="15.5">
      <c r="A1" s="38" t="s">
        <v>170</v>
      </c>
      <c r="B1" s="37"/>
      <c r="C1" s="37"/>
      <c r="D1" s="37"/>
      <c r="E1" s="37"/>
      <c r="F1" s="10"/>
    </row>
    <row r="2" spans="1:9" s="9" customFormat="1" ht="18" customHeight="1">
      <c r="A2" s="60" t="s">
        <v>27</v>
      </c>
      <c r="B2" s="10"/>
      <c r="D2" s="12"/>
      <c r="E2" s="10"/>
      <c r="F2" s="10"/>
    </row>
    <row r="3" spans="1:9" s="9" customFormat="1" ht="15.5">
      <c r="A3" s="197"/>
      <c r="B3" s="198"/>
      <c r="C3" s="59"/>
      <c r="D3" s="199"/>
      <c r="E3" s="59"/>
      <c r="F3" s="59"/>
    </row>
    <row r="4" spans="1:9" s="9" customFormat="1" ht="16" thickBot="1">
      <c r="A4" s="133" t="s">
        <v>109</v>
      </c>
      <c r="B4" s="134" t="s">
        <v>0</v>
      </c>
      <c r="C4" s="134" t="s">
        <v>19</v>
      </c>
      <c r="D4" s="134" t="s">
        <v>31</v>
      </c>
      <c r="E4" s="134" t="s">
        <v>33</v>
      </c>
      <c r="F4" s="130"/>
    </row>
    <row r="5" spans="1:9" s="9" customFormat="1" ht="15.5">
      <c r="A5" s="132" t="s">
        <v>67</v>
      </c>
      <c r="B5" s="135">
        <v>4505</v>
      </c>
      <c r="C5" s="135">
        <v>5265</v>
      </c>
      <c r="D5" s="135">
        <v>5390</v>
      </c>
      <c r="E5" s="135">
        <v>4940</v>
      </c>
      <c r="F5" s="130"/>
    </row>
    <row r="6" spans="1:9" s="9" customFormat="1" ht="15.5">
      <c r="A6" s="132" t="s">
        <v>63</v>
      </c>
      <c r="B6" s="135">
        <v>4237</v>
      </c>
      <c r="C6" s="135">
        <v>3636</v>
      </c>
      <c r="D6" s="135">
        <v>4165</v>
      </c>
      <c r="E6" s="135">
        <v>4000</v>
      </c>
      <c r="F6" s="10"/>
    </row>
    <row r="7" spans="1:9" s="8" customFormat="1" ht="15.5">
      <c r="A7" s="132" t="s">
        <v>62</v>
      </c>
      <c r="B7" s="135">
        <v>15899</v>
      </c>
      <c r="C7" s="135">
        <v>10969</v>
      </c>
      <c r="D7" s="135">
        <v>12829</v>
      </c>
      <c r="E7" s="135">
        <v>13096</v>
      </c>
      <c r="F7" s="1"/>
      <c r="G7" s="7"/>
      <c r="H7" s="131"/>
      <c r="I7" s="131"/>
    </row>
    <row r="8" spans="1:9" s="8" customFormat="1" ht="15.5">
      <c r="A8" s="132" t="s">
        <v>59</v>
      </c>
      <c r="B8" s="135">
        <v>4907</v>
      </c>
      <c r="C8" s="135">
        <v>4846</v>
      </c>
      <c r="D8" s="135">
        <v>5061</v>
      </c>
      <c r="E8" s="135">
        <v>4271</v>
      </c>
      <c r="F8" s="131"/>
      <c r="G8" s="131"/>
      <c r="H8" s="131"/>
      <c r="I8" s="131"/>
    </row>
    <row r="9" spans="1:9" ht="15.5">
      <c r="A9" s="132" t="s">
        <v>66</v>
      </c>
      <c r="B9" s="135">
        <v>7848</v>
      </c>
      <c r="C9" s="135">
        <v>7848</v>
      </c>
      <c r="D9" s="135">
        <v>6812</v>
      </c>
      <c r="E9" s="135">
        <v>5179</v>
      </c>
    </row>
    <row r="10" spans="1:9" ht="15.5">
      <c r="A10" s="132" t="s">
        <v>56</v>
      </c>
      <c r="B10" s="135">
        <v>7139</v>
      </c>
      <c r="C10" s="135">
        <v>6829</v>
      </c>
      <c r="D10" s="135">
        <v>11183</v>
      </c>
      <c r="E10" s="135">
        <v>9136</v>
      </c>
    </row>
    <row r="11" spans="1:9" ht="15.5">
      <c r="A11" s="132" t="s">
        <v>55</v>
      </c>
      <c r="B11" s="135">
        <v>8949</v>
      </c>
      <c r="C11" s="135">
        <v>9391</v>
      </c>
      <c r="D11" s="135">
        <v>8224</v>
      </c>
      <c r="E11" s="135">
        <v>7412</v>
      </c>
    </row>
    <row r="12" spans="1:9" ht="15.5">
      <c r="A12" s="132" t="s">
        <v>58</v>
      </c>
      <c r="B12" s="135">
        <v>5151</v>
      </c>
      <c r="C12" s="135">
        <v>5440</v>
      </c>
      <c r="D12" s="135">
        <v>4624</v>
      </c>
      <c r="E12" s="135">
        <v>3206</v>
      </c>
    </row>
    <row r="13" spans="1:9" ht="15.5">
      <c r="A13" s="132" t="s">
        <v>65</v>
      </c>
      <c r="B13" s="135">
        <v>8059</v>
      </c>
      <c r="C13" s="135">
        <v>7737</v>
      </c>
      <c r="D13" s="135">
        <v>6478</v>
      </c>
      <c r="E13" s="135">
        <v>4943</v>
      </c>
    </row>
    <row r="14" spans="1:9" ht="15.5">
      <c r="A14" s="132" t="s">
        <v>54</v>
      </c>
      <c r="B14" s="135">
        <v>11004</v>
      </c>
      <c r="C14" s="135">
        <v>11674</v>
      </c>
      <c r="D14" s="135">
        <v>12031</v>
      </c>
      <c r="E14" s="135">
        <v>12001</v>
      </c>
    </row>
    <row r="15" spans="1:9" ht="15.5">
      <c r="A15" s="132" t="s">
        <v>61</v>
      </c>
      <c r="B15" s="200">
        <v>19713</v>
      </c>
      <c r="C15" s="200">
        <v>11174</v>
      </c>
      <c r="D15" s="200">
        <v>16682</v>
      </c>
      <c r="E15" s="200">
        <v>16716</v>
      </c>
    </row>
  </sheetData>
  <hyperlinks>
    <hyperlink ref="A2" location="'Notes and Definitions'!A2" display="Notes and Definitions for the table below " xr:uid="{00000000-0004-0000-0B00-000000000000}"/>
  </hyperlinks>
  <pageMargins left="0.7" right="0.7" top="0.75" bottom="0.75" header="0.3" footer="0.3"/>
  <pageSetup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H16"/>
  <sheetViews>
    <sheetView workbookViewId="0"/>
  </sheetViews>
  <sheetFormatPr defaultColWidth="8.81640625" defaultRowHeight="14.5"/>
  <cols>
    <col min="1" max="1" width="40" style="1" customWidth="1"/>
    <col min="2" max="3" width="15.54296875" style="1" customWidth="1"/>
    <col min="4" max="4" width="14.54296875" style="1" customWidth="1"/>
    <col min="5" max="5" width="13.1796875" style="1" customWidth="1"/>
    <col min="6" max="16384" width="8.81640625" style="1"/>
  </cols>
  <sheetData>
    <row r="1" spans="1:8" s="26" customFormat="1" ht="15.5">
      <c r="A1" s="38" t="s">
        <v>171</v>
      </c>
      <c r="B1" s="25"/>
      <c r="C1" s="24"/>
      <c r="D1" s="24"/>
      <c r="E1" s="24"/>
      <c r="F1" s="24"/>
      <c r="G1" s="24"/>
      <c r="H1" s="24"/>
    </row>
    <row r="2" spans="1:8" s="26" customFormat="1" ht="15.5">
      <c r="A2" s="60" t="s">
        <v>27</v>
      </c>
      <c r="B2" s="24"/>
      <c r="C2" s="27"/>
      <c r="D2" s="27"/>
      <c r="E2" s="24"/>
      <c r="F2" s="28"/>
      <c r="G2" s="24"/>
      <c r="H2" s="24"/>
    </row>
    <row r="3" spans="1:8" s="26" customFormat="1" ht="15.5">
      <c r="A3" s="24"/>
      <c r="B3" s="29"/>
      <c r="C3" s="30"/>
      <c r="D3" s="30"/>
      <c r="E3" s="151" t="s">
        <v>136</v>
      </c>
      <c r="F3" s="30"/>
      <c r="G3" s="24"/>
      <c r="H3" s="24"/>
    </row>
    <row r="4" spans="1:8" s="26" customFormat="1" ht="16.5" customHeight="1" thickBot="1">
      <c r="A4" s="201" t="s">
        <v>20</v>
      </c>
      <c r="B4" s="145" t="s">
        <v>0</v>
      </c>
      <c r="C4" s="145" t="s">
        <v>19</v>
      </c>
      <c r="D4" s="145" t="s">
        <v>31</v>
      </c>
      <c r="E4" s="145" t="s">
        <v>33</v>
      </c>
      <c r="F4" s="146"/>
      <c r="G4" s="146"/>
      <c r="H4" s="146"/>
    </row>
    <row r="5" spans="1:8" ht="15.5">
      <c r="A5" s="148" t="s">
        <v>111</v>
      </c>
      <c r="B5" s="149">
        <v>140227</v>
      </c>
      <c r="C5" s="149">
        <v>143680</v>
      </c>
      <c r="D5" s="149">
        <v>137711</v>
      </c>
      <c r="E5" s="149">
        <v>65735</v>
      </c>
    </row>
    <row r="6" spans="1:8" ht="15.5">
      <c r="A6" s="148" t="s">
        <v>112</v>
      </c>
      <c r="B6" s="149">
        <v>92237</v>
      </c>
      <c r="C6" s="149">
        <v>82153</v>
      </c>
      <c r="D6" s="149">
        <v>88673</v>
      </c>
      <c r="E6" s="149">
        <v>110993</v>
      </c>
    </row>
    <row r="7" spans="1:8" ht="16.5">
      <c r="A7" s="148" t="s">
        <v>113</v>
      </c>
      <c r="B7" s="149">
        <v>14057</v>
      </c>
      <c r="C7" s="149">
        <v>18253</v>
      </c>
      <c r="D7" s="149">
        <v>16060</v>
      </c>
      <c r="E7" s="149">
        <v>16244</v>
      </c>
    </row>
    <row r="8" spans="1:8" ht="16.5">
      <c r="A8" s="148" t="s">
        <v>114</v>
      </c>
      <c r="B8" s="150">
        <v>780</v>
      </c>
      <c r="C8" s="150">
        <v>1362</v>
      </c>
      <c r="D8" s="150">
        <v>1580</v>
      </c>
      <c r="E8" s="150">
        <v>1741</v>
      </c>
    </row>
    <row r="9" spans="1:8" ht="15.5">
      <c r="A9" s="148" t="s">
        <v>115</v>
      </c>
      <c r="B9" s="149">
        <v>14983</v>
      </c>
      <c r="C9" s="149">
        <v>15308</v>
      </c>
      <c r="D9" s="149">
        <v>16174</v>
      </c>
      <c r="E9" s="149">
        <v>17366</v>
      </c>
    </row>
    <row r="10" spans="1:8" ht="15.5">
      <c r="A10" s="148" t="s">
        <v>116</v>
      </c>
      <c r="B10" s="149">
        <v>9245</v>
      </c>
      <c r="C10" s="149">
        <v>9309</v>
      </c>
      <c r="D10" s="149">
        <v>11020</v>
      </c>
      <c r="E10" s="149">
        <v>11269</v>
      </c>
    </row>
    <row r="11" spans="1:8" ht="15.5">
      <c r="A11" s="148" t="s">
        <v>117</v>
      </c>
      <c r="B11" s="150">
        <v>6763</v>
      </c>
      <c r="C11" s="150">
        <v>8531</v>
      </c>
      <c r="D11" s="150">
        <v>6630</v>
      </c>
      <c r="E11" s="150">
        <v>8696</v>
      </c>
    </row>
    <row r="12" spans="1:8" ht="15.5">
      <c r="A12" s="148" t="s">
        <v>118</v>
      </c>
      <c r="B12" s="149">
        <v>18095</v>
      </c>
      <c r="C12" s="149">
        <v>15663</v>
      </c>
      <c r="D12" s="149">
        <v>24637</v>
      </c>
      <c r="E12" s="149">
        <v>25035</v>
      </c>
    </row>
    <row r="13" spans="1:8" ht="15.5">
      <c r="A13" s="148" t="s">
        <v>119</v>
      </c>
      <c r="B13" s="149">
        <v>359</v>
      </c>
      <c r="C13" s="149">
        <v>293</v>
      </c>
      <c r="D13" s="149">
        <v>553</v>
      </c>
      <c r="E13" s="149">
        <v>301</v>
      </c>
    </row>
    <row r="14" spans="1:8" ht="16" thickBot="1">
      <c r="A14" s="204" t="s">
        <v>120</v>
      </c>
      <c r="B14" s="205">
        <v>149812</v>
      </c>
      <c r="C14" s="205">
        <v>155345</v>
      </c>
      <c r="D14" s="205">
        <v>173510</v>
      </c>
      <c r="E14" s="205">
        <v>183392</v>
      </c>
    </row>
    <row r="15" spans="1:8" ht="15.5">
      <c r="A15" s="202" t="s">
        <v>110</v>
      </c>
      <c r="B15" s="203">
        <v>446558</v>
      </c>
      <c r="C15" s="203">
        <v>449897</v>
      </c>
      <c r="D15" s="203">
        <v>476548</v>
      </c>
      <c r="E15" s="203">
        <v>440772</v>
      </c>
    </row>
    <row r="16" spans="1:8">
      <c r="B16" s="152"/>
      <c r="C16" s="152"/>
      <c r="D16" s="152"/>
      <c r="E16" s="152"/>
    </row>
  </sheetData>
  <hyperlinks>
    <hyperlink ref="A2" location="'Notes and Definitions'!A2" display="Notes and Definitions for the table below " xr:uid="{E4D5CD8A-83C8-4552-B7C8-A2268B892805}"/>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6"/>
  <sheetViews>
    <sheetView workbookViewId="0"/>
  </sheetViews>
  <sheetFormatPr defaultColWidth="8.7265625" defaultRowHeight="15.5"/>
  <cols>
    <col min="1" max="1" width="34" style="35" customWidth="1"/>
    <col min="2" max="2" width="173.54296875" style="35" customWidth="1"/>
    <col min="3" max="10" width="8.7265625" style="35"/>
    <col min="11" max="12" width="10.26953125" style="35" customWidth="1"/>
    <col min="13" max="16384" width="8.7265625" style="35"/>
  </cols>
  <sheetData>
    <row r="1" spans="1:2">
      <c r="A1" s="38" t="s">
        <v>23</v>
      </c>
    </row>
    <row r="3" spans="1:2">
      <c r="A3" s="72" t="s">
        <v>32</v>
      </c>
    </row>
    <row r="4" spans="1:2">
      <c r="A4" s="35" t="s">
        <v>22</v>
      </c>
    </row>
    <row r="5" spans="1:2">
      <c r="A5" s="57" t="s">
        <v>28</v>
      </c>
      <c r="B5" s="57" t="s">
        <v>20</v>
      </c>
    </row>
    <row r="6" spans="1:2">
      <c r="A6" s="58">
        <v>1</v>
      </c>
      <c r="B6" s="1" t="s">
        <v>122</v>
      </c>
    </row>
    <row r="7" spans="1:2">
      <c r="A7" s="58">
        <v>2</v>
      </c>
      <c r="B7" s="1" t="s">
        <v>72</v>
      </c>
    </row>
    <row r="8" spans="1:2">
      <c r="A8" s="58">
        <v>3</v>
      </c>
      <c r="B8" s="1" t="s">
        <v>73</v>
      </c>
    </row>
    <row r="9" spans="1:2">
      <c r="A9" s="58">
        <v>4</v>
      </c>
      <c r="B9" s="1" t="s">
        <v>74</v>
      </c>
    </row>
    <row r="10" spans="1:2">
      <c r="A10" s="58">
        <v>5</v>
      </c>
      <c r="B10" s="1" t="s">
        <v>75</v>
      </c>
    </row>
    <row r="11" spans="1:2">
      <c r="A11" s="58">
        <v>6</v>
      </c>
      <c r="B11" s="1" t="s">
        <v>76</v>
      </c>
    </row>
    <row r="12" spans="1:2">
      <c r="A12" s="58">
        <v>7</v>
      </c>
      <c r="B12" s="1" t="s">
        <v>77</v>
      </c>
    </row>
    <row r="13" spans="1:2">
      <c r="A13" s="58">
        <v>8</v>
      </c>
      <c r="B13" s="1" t="s">
        <v>123</v>
      </c>
    </row>
    <row r="14" spans="1:2">
      <c r="A14" s="58"/>
      <c r="B14" s="1"/>
    </row>
    <row r="15" spans="1:2">
      <c r="A15" s="77" t="s">
        <v>78</v>
      </c>
      <c r="B15" s="71"/>
    </row>
    <row r="16" spans="1:2">
      <c r="A16" s="22" t="s">
        <v>22</v>
      </c>
      <c r="B16" s="22"/>
    </row>
    <row r="17" spans="1:3">
      <c r="A17" s="57" t="s">
        <v>25</v>
      </c>
      <c r="B17" s="57" t="s">
        <v>20</v>
      </c>
    </row>
    <row r="18" spans="1:3">
      <c r="A18" s="76">
        <v>1</v>
      </c>
      <c r="B18" s="1" t="s">
        <v>79</v>
      </c>
    </row>
    <row r="19" spans="1:3">
      <c r="A19" s="58">
        <v>2</v>
      </c>
      <c r="B19" s="1" t="s">
        <v>71</v>
      </c>
    </row>
    <row r="20" spans="1:3">
      <c r="A20" s="58">
        <v>3</v>
      </c>
      <c r="B20" s="1" t="s">
        <v>72</v>
      </c>
    </row>
    <row r="21" spans="1:3">
      <c r="A21" s="58">
        <v>4</v>
      </c>
      <c r="B21" s="1" t="s">
        <v>76</v>
      </c>
    </row>
    <row r="22" spans="1:3">
      <c r="A22" s="58">
        <v>5</v>
      </c>
      <c r="B22" s="1" t="s">
        <v>73</v>
      </c>
    </row>
    <row r="23" spans="1:3">
      <c r="A23" s="58">
        <v>6</v>
      </c>
      <c r="B23" s="1" t="s">
        <v>77</v>
      </c>
    </row>
    <row r="24" spans="1:3">
      <c r="A24" s="102">
        <v>7</v>
      </c>
      <c r="B24" s="103" t="s">
        <v>123</v>
      </c>
    </row>
    <row r="25" spans="1:3">
      <c r="A25" s="77"/>
      <c r="B25" s="22"/>
    </row>
    <row r="26" spans="1:3">
      <c r="A26" s="22" t="s">
        <v>24</v>
      </c>
      <c r="B26" s="22"/>
    </row>
    <row r="27" spans="1:3">
      <c r="A27" s="57" t="s">
        <v>26</v>
      </c>
      <c r="B27" s="57" t="s">
        <v>20</v>
      </c>
    </row>
    <row r="28" spans="1:3">
      <c r="A28" s="165" t="s">
        <v>68</v>
      </c>
      <c r="B28" s="1" t="s">
        <v>88</v>
      </c>
    </row>
    <row r="29" spans="1:3" ht="29">
      <c r="A29" s="165" t="s">
        <v>90</v>
      </c>
      <c r="B29" s="7" t="s">
        <v>89</v>
      </c>
    </row>
    <row r="30" spans="1:3">
      <c r="A30" s="169" t="s">
        <v>80</v>
      </c>
      <c r="B30" s="1" t="s">
        <v>84</v>
      </c>
      <c r="C30"/>
    </row>
    <row r="31" spans="1:3">
      <c r="A31" s="169" t="s">
        <v>81</v>
      </c>
      <c r="B31" s="1" t="s">
        <v>85</v>
      </c>
      <c r="C31"/>
    </row>
    <row r="32" spans="1:3">
      <c r="A32" s="169" t="s">
        <v>82</v>
      </c>
      <c r="B32" s="1" t="s">
        <v>86</v>
      </c>
      <c r="C32"/>
    </row>
    <row r="33" spans="1:3">
      <c r="A33" s="169" t="s">
        <v>83</v>
      </c>
      <c r="B33" s="1" t="s">
        <v>87</v>
      </c>
      <c r="C33"/>
    </row>
    <row r="34" spans="1:3">
      <c r="A34" s="1"/>
      <c r="B34" s="1"/>
      <c r="C34"/>
    </row>
    <row r="35" spans="1:3">
      <c r="A35" s="77" t="s">
        <v>91</v>
      </c>
      <c r="B35" s="22"/>
    </row>
    <row r="36" spans="1:3">
      <c r="A36" s="22" t="s">
        <v>24</v>
      </c>
      <c r="B36" s="22"/>
    </row>
    <row r="37" spans="1:3">
      <c r="A37" s="57" t="s">
        <v>26</v>
      </c>
      <c r="B37" s="57" t="s">
        <v>29</v>
      </c>
    </row>
    <row r="38" spans="1:3">
      <c r="A38" s="165"/>
      <c r="B38" s="80" t="s">
        <v>132</v>
      </c>
    </row>
    <row r="39" spans="1:3">
      <c r="A39" s="165" t="s">
        <v>126</v>
      </c>
      <c r="B39" s="75" t="s">
        <v>131</v>
      </c>
    </row>
    <row r="40" spans="1:3">
      <c r="A40" s="78" t="s">
        <v>127</v>
      </c>
      <c r="B40" s="75" t="s">
        <v>130</v>
      </c>
    </row>
    <row r="41" spans="1:3">
      <c r="A41" s="165" t="s">
        <v>128</v>
      </c>
      <c r="B41" s="82" t="s">
        <v>129</v>
      </c>
    </row>
    <row r="42" spans="1:3">
      <c r="A42" s="22"/>
      <c r="B42" s="22"/>
    </row>
    <row r="43" spans="1:3">
      <c r="A43" s="77" t="s">
        <v>137</v>
      </c>
      <c r="B43" s="22"/>
    </row>
    <row r="44" spans="1:3">
      <c r="A44" s="22" t="s">
        <v>24</v>
      </c>
      <c r="B44" s="22"/>
    </row>
    <row r="45" spans="1:3">
      <c r="A45" s="57" t="s">
        <v>26</v>
      </c>
      <c r="B45" s="57" t="s">
        <v>29</v>
      </c>
    </row>
    <row r="46" spans="1:3" ht="31">
      <c r="A46" s="170" t="s">
        <v>138</v>
      </c>
      <c r="B46" s="168" t="s">
        <v>139</v>
      </c>
    </row>
    <row r="47" spans="1:3" ht="15.65" customHeight="1">
      <c r="A47" s="170" t="s">
        <v>141</v>
      </c>
      <c r="B47" s="168" t="s">
        <v>140</v>
      </c>
    </row>
    <row r="48" spans="1:3">
      <c r="A48" s="170" t="s">
        <v>143</v>
      </c>
      <c r="B48" s="168" t="s">
        <v>142</v>
      </c>
    </row>
    <row r="49" spans="1:2">
      <c r="A49" s="170" t="s">
        <v>145</v>
      </c>
      <c r="B49" s="168" t="s">
        <v>144</v>
      </c>
    </row>
    <row r="50" spans="1:2" ht="15.65" customHeight="1">
      <c r="A50" s="170" t="s">
        <v>146</v>
      </c>
      <c r="B50" s="76" t="s">
        <v>156</v>
      </c>
    </row>
    <row r="51" spans="1:2">
      <c r="A51" s="170" t="s">
        <v>148</v>
      </c>
      <c r="B51" s="168" t="s">
        <v>147</v>
      </c>
    </row>
    <row r="52" spans="1:2">
      <c r="A52" s="170" t="s">
        <v>150</v>
      </c>
      <c r="B52" s="168" t="s">
        <v>149</v>
      </c>
    </row>
    <row r="53" spans="1:2">
      <c r="A53" s="170" t="s">
        <v>152</v>
      </c>
      <c r="B53" s="168" t="s">
        <v>151</v>
      </c>
    </row>
    <row r="54" spans="1:2">
      <c r="A54" s="170" t="s">
        <v>119</v>
      </c>
      <c r="B54" s="168" t="s">
        <v>153</v>
      </c>
    </row>
    <row r="55" spans="1:2" ht="62">
      <c r="A55" s="81" t="s">
        <v>155</v>
      </c>
      <c r="B55" s="168" t="s">
        <v>154</v>
      </c>
    </row>
    <row r="56" spans="1:2">
      <c r="A56" s="78"/>
      <c r="B56" s="79"/>
    </row>
  </sheetData>
  <pageMargins left="0.7" right="0.7" top="0.75" bottom="0.75" header="0.3" footer="0.3"/>
  <pageSetup orientation="portrait" horizontalDpi="90" verticalDpi="9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Index</vt:lpstr>
      <vt:lpstr>Introductory Notes</vt:lpstr>
      <vt:lpstr>Fig1</vt:lpstr>
      <vt:lpstr>Fig2</vt:lpstr>
      <vt:lpstr>Fig3</vt:lpstr>
      <vt:lpstr>Fig5</vt:lpstr>
      <vt:lpstr>Fig6</vt:lpstr>
      <vt:lpstr>Fig8</vt:lpstr>
      <vt:lpstr>Fig9</vt:lpstr>
      <vt:lpstr>Fig10</vt:lpstr>
      <vt:lpstr>Notes and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road network and condition statistics 2019-20 to 2022-23</dc:title>
  <dc:subject>What are our priorities and how are we doing</dc:subject>
  <dc:creator>"Analysis, Statistics &amp; Research Branch"</dc:creator>
  <cp:keywords>"Northern Ireland, NISRA, DfI, ASRB, Statistics, Road Network, Public Transport, Disability, Buses, Ulsterbus, Metro, Glider, Trains, Rail"</cp:keywords>
  <cp:lastModifiedBy>Cairns, Holly</cp:lastModifiedBy>
  <dcterms:created xsi:type="dcterms:W3CDTF">2020-06-11T14:49:13Z</dcterms:created>
  <dcterms:modified xsi:type="dcterms:W3CDTF">2024-10-09T13:57:06Z</dcterms:modified>
</cp:coreProperties>
</file>